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odalidades\Ano 2022 - modalidade\Pregão Presencial\036 - LOCAÇÃO DE 03 COMPACTADORES COM MOTORISTA PROC 4586 SEMADER\"/>
    </mc:Choice>
  </mc:AlternateContent>
  <xr:revisionPtr revIDLastSave="0" documentId="8_{CB725F76-CD7C-469D-A18A-3E7EE3C2E897}" xr6:coauthVersionLast="47" xr6:coauthVersionMax="47" xr10:uidLastSave="{00000000-0000-0000-0000-000000000000}"/>
  <bookViews>
    <workbookView xWindow="-108" yWindow="-108" windowWidth="23256" windowHeight="12576" activeTab="1" xr2:uid="{CC5622AF-89B3-4163-95E4-1FB699063B7B}"/>
  </bookViews>
  <sheets>
    <sheet name="Planilha1" sheetId="1" r:id="rId1"/>
    <sheet name="Planilha1 (2)" sheetId="2" r:id="rId2"/>
  </sheets>
  <definedNames>
    <definedName name="_xlnm.Print_Area" localSheetId="1">'Planilha1 (2)'!$A$1:$G$157</definedName>
    <definedName name="_xlnm.Print_Titles" localSheetId="1">'Planilha1 (2)'!$1:$5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2" l="1"/>
  <c r="G60" i="2" s="1"/>
  <c r="G41" i="2"/>
  <c r="C59" i="2"/>
  <c r="G31" i="2"/>
  <c r="C41" i="2"/>
  <c r="G23" i="2"/>
  <c r="C23" i="2"/>
  <c r="G13" i="2"/>
  <c r="G73" i="2"/>
  <c r="G74" i="2"/>
  <c r="G72" i="2"/>
  <c r="E156" i="2"/>
  <c r="G156" i="2" s="1"/>
  <c r="D128" i="2"/>
  <c r="G129" i="2" s="1"/>
  <c r="F130" i="2" s="1"/>
  <c r="G130" i="2" s="1"/>
  <c r="D119" i="2"/>
  <c r="G122" i="2" s="1"/>
  <c r="G113" i="2"/>
  <c r="G112" i="2"/>
  <c r="G111" i="2"/>
  <c r="G110" i="2"/>
  <c r="G140" i="2"/>
  <c r="F141" i="2" s="1"/>
  <c r="G141" i="2" s="1"/>
  <c r="F142" i="2" s="1"/>
  <c r="G142" i="2" s="1"/>
  <c r="G135" i="2"/>
  <c r="F136" i="2" s="1"/>
  <c r="G136" i="2" s="1"/>
  <c r="F137" i="2" s="1"/>
  <c r="F99" i="2"/>
  <c r="G99" i="2" s="1"/>
  <c r="G97" i="2"/>
  <c r="F98" i="2" s="1"/>
  <c r="G95" i="2"/>
  <c r="F93" i="2"/>
  <c r="F94" i="2" s="1"/>
  <c r="G94" i="2" s="1"/>
  <c r="D89" i="2"/>
  <c r="D87" i="2"/>
  <c r="G85" i="2"/>
  <c r="G84" i="2"/>
  <c r="G83" i="2"/>
  <c r="G82" i="2"/>
  <c r="G81" i="2"/>
  <c r="G80" i="2"/>
  <c r="G79" i="2"/>
  <c r="G69" i="2"/>
  <c r="D68" i="2"/>
  <c r="G68" i="2" s="1"/>
  <c r="D67" i="2"/>
  <c r="G67" i="2" s="1"/>
  <c r="H108" i="1"/>
  <c r="H107" i="1"/>
  <c r="K105" i="1"/>
  <c r="G47" i="1"/>
  <c r="E82" i="1"/>
  <c r="H83" i="1" s="1"/>
  <c r="E73" i="1"/>
  <c r="G42" i="2" l="1"/>
  <c r="G24" i="2"/>
  <c r="G75" i="2"/>
  <c r="G43" i="2"/>
  <c r="D137" i="2"/>
  <c r="G137" i="2" s="1"/>
  <c r="G143" i="2" s="1"/>
  <c r="G124" i="2"/>
  <c r="D126" i="2"/>
  <c r="G103" i="2"/>
  <c r="G104" i="2" s="1"/>
  <c r="G123" i="2"/>
  <c r="G70" i="2"/>
  <c r="G76" i="2" s="1"/>
  <c r="G98" i="2"/>
  <c r="G102" i="2" s="1"/>
  <c r="G86" i="2"/>
  <c r="F88" i="2" s="1"/>
  <c r="G25" i="2"/>
  <c r="G61" i="2"/>
  <c r="G93" i="2"/>
  <c r="G101" i="2" s="1"/>
  <c r="G120" i="2"/>
  <c r="G121" i="2"/>
  <c r="E80" i="1"/>
  <c r="H77" i="1"/>
  <c r="H78" i="1"/>
  <c r="H76" i="1"/>
  <c r="H75" i="1"/>
  <c r="H74" i="1"/>
  <c r="G53" i="1"/>
  <c r="H53" i="1" s="1"/>
  <c r="H49" i="1"/>
  <c r="G48" i="1"/>
  <c r="E41" i="1"/>
  <c r="G63" i="2" l="1"/>
  <c r="G125" i="2"/>
  <c r="G126" i="2" s="1"/>
  <c r="G131" i="2" s="1"/>
  <c r="G88" i="2"/>
  <c r="G89" i="2" s="1"/>
  <c r="G87" i="2"/>
  <c r="F109" i="2"/>
  <c r="G109" i="2" s="1"/>
  <c r="G114" i="2" s="1"/>
  <c r="G115" i="2" s="1"/>
  <c r="G116" i="2" s="1"/>
  <c r="G146" i="2" s="1"/>
  <c r="G106" i="2"/>
  <c r="H57" i="1"/>
  <c r="G7" i="1"/>
  <c r="G90" i="2" l="1"/>
  <c r="H51" i="1"/>
  <c r="G52" i="1" s="1"/>
  <c r="H52" i="1" s="1"/>
  <c r="H47" i="1"/>
  <c r="H34" i="1"/>
  <c r="H35" i="1"/>
  <c r="H36" i="1"/>
  <c r="H37" i="1"/>
  <c r="H38" i="1"/>
  <c r="H39" i="1"/>
  <c r="H33" i="1"/>
  <c r="H29" i="1"/>
  <c r="H19" i="1"/>
  <c r="H13" i="1"/>
  <c r="H7" i="1"/>
  <c r="H94" i="1"/>
  <c r="G95" i="1" s="1"/>
  <c r="H95" i="1" s="1"/>
  <c r="G96" i="1" s="1"/>
  <c r="H96" i="1" s="1"/>
  <c r="H89" i="1"/>
  <c r="G90" i="1" s="1"/>
  <c r="H90" i="1" s="1"/>
  <c r="G91" i="1" s="1"/>
  <c r="H91" i="1" s="1"/>
  <c r="G84" i="1"/>
  <c r="H84" i="1" s="1"/>
  <c r="H64" i="1"/>
  <c r="H65" i="1"/>
  <c r="H66" i="1"/>
  <c r="H67" i="1"/>
  <c r="H58" i="1"/>
  <c r="E43" i="1"/>
  <c r="E27" i="1"/>
  <c r="H27" i="1" s="1"/>
  <c r="E28" i="1"/>
  <c r="H28" i="1" s="1"/>
  <c r="G145" i="2" l="1"/>
  <c r="G144" i="2" s="1"/>
  <c r="G148" i="2" s="1"/>
  <c r="G151" i="2" s="1"/>
  <c r="H20" i="1"/>
  <c r="H21" i="1" s="1"/>
  <c r="G22" i="1" s="1"/>
  <c r="H22" i="1" s="1"/>
  <c r="H97" i="1"/>
  <c r="H48" i="1"/>
  <c r="H56" i="1" s="1"/>
  <c r="H55" i="1"/>
  <c r="H40" i="1"/>
  <c r="H41" i="1" s="1"/>
  <c r="H14" i="1"/>
  <c r="H15" i="1" s="1"/>
  <c r="G16" i="1" s="1"/>
  <c r="H16" i="1" s="1"/>
  <c r="H8" i="1"/>
  <c r="H9" i="1" s="1"/>
  <c r="G10" i="1" s="1"/>
  <c r="H10" i="1" s="1"/>
  <c r="H30" i="1"/>
  <c r="G150" i="2" l="1"/>
  <c r="G149" i="2"/>
  <c r="G152" i="2"/>
  <c r="G153" i="2" s="1"/>
  <c r="H24" i="1"/>
  <c r="H99" i="1" s="1"/>
  <c r="G106" i="1" s="1"/>
  <c r="H106" i="1" s="1"/>
  <c r="G63" i="1"/>
  <c r="H63" i="1" s="1"/>
  <c r="H68" i="1" s="1"/>
  <c r="H69" i="1" s="1"/>
  <c r="H70" i="1" s="1"/>
  <c r="H60" i="1"/>
  <c r="G42" i="1"/>
  <c r="H42" i="1" s="1"/>
  <c r="H43" i="1" s="1"/>
  <c r="H44" i="1" s="1"/>
  <c r="H79" i="1"/>
  <c r="G155" i="2" l="1"/>
  <c r="G157" i="2" s="1"/>
  <c r="H80" i="1"/>
  <c r="H85" i="1" s="1"/>
  <c r="H100" i="1" s="1"/>
  <c r="H98" i="1" l="1"/>
  <c r="F101" i="1" s="1"/>
  <c r="H101" i="1" s="1"/>
  <c r="H102" i="1" s="1"/>
  <c r="F103" i="1" l="1"/>
  <c r="H103" i="1" s="1"/>
  <c r="H104" i="1" s="1"/>
  <c r="H109" i="1" s="1"/>
</calcChain>
</file>

<file path=xl/sharedStrings.xml><?xml version="1.0" encoding="utf-8"?>
<sst xmlns="http://schemas.openxmlformats.org/spreadsheetml/2006/main" count="399" uniqueCount="184">
  <si>
    <t>ITEM</t>
  </si>
  <si>
    <t>CÓDIGO</t>
  </si>
  <si>
    <t>DESCRIÇÃO</t>
  </si>
  <si>
    <t>UNIDADE</t>
  </si>
  <si>
    <t>QUANT.</t>
  </si>
  <si>
    <t>TOTAL</t>
  </si>
  <si>
    <t>MÃO DE OBRA DIRETA</t>
  </si>
  <si>
    <t>1.1</t>
  </si>
  <si>
    <t>Motoristas de Caminhão Coletor</t>
  </si>
  <si>
    <t>Salário Base</t>
  </si>
  <si>
    <t>h</t>
  </si>
  <si>
    <t>%</t>
  </si>
  <si>
    <t>Total por Motorista</t>
  </si>
  <si>
    <t>Total do Setor</t>
  </si>
  <si>
    <t>unid.</t>
  </si>
  <si>
    <t>1.2</t>
  </si>
  <si>
    <t>Coletores de Lixo Domiciliar</t>
  </si>
  <si>
    <t>Adicional Insalubridade ( sobre Salário Mensal )</t>
  </si>
  <si>
    <t>Total por Coletadores</t>
  </si>
  <si>
    <t>1.3</t>
  </si>
  <si>
    <t>Supervisor Administrativo</t>
  </si>
  <si>
    <t>Total por Supervisor</t>
  </si>
  <si>
    <t>PLANILHA DE CUSTOS - DESONERADO</t>
  </si>
  <si>
    <t>TOTAL DE MÃO DE OBRA DIRETA</t>
  </si>
  <si>
    <t>CUSTOS DE MATERIAIS INDIRETOS</t>
  </si>
  <si>
    <t>2.1</t>
  </si>
  <si>
    <t>Vale Refeição</t>
  </si>
  <si>
    <t>unid</t>
  </si>
  <si>
    <t>Vale Refeição Coletores ( 09 )</t>
  </si>
  <si>
    <t>Vale Refeição Motoristas ( 03 )</t>
  </si>
  <si>
    <t>Vale Refeição Supervisor ( 01 )</t>
  </si>
  <si>
    <t>2.2</t>
  </si>
  <si>
    <t>EQUIPAMENTOS DE SEGURANÇA E VESTUÁRIO</t>
  </si>
  <si>
    <t>Boné</t>
  </si>
  <si>
    <t>Calçado</t>
  </si>
  <si>
    <t>unid/mês</t>
  </si>
  <si>
    <t>SubTotal Custo Mensal</t>
  </si>
  <si>
    <t>EPIs e Vestuário do Administrativo e Motorista</t>
  </si>
  <si>
    <t>Total do Efetivo ( coletadores )</t>
  </si>
  <si>
    <t>Total do Efetivo ( motorista e administrativo )</t>
  </si>
  <si>
    <t>CUSTO TOTAL DOS MATERIAIS INDIRETOS</t>
  </si>
  <si>
    <t>3.0</t>
  </si>
  <si>
    <t>CUSTO FIXO COM VEICULO ( FROTA )</t>
  </si>
  <si>
    <t>3.1</t>
  </si>
  <si>
    <t>Valor Residual ( 5 anos )</t>
  </si>
  <si>
    <t>3.2</t>
  </si>
  <si>
    <t>Valor à Depreciar</t>
  </si>
  <si>
    <t>Veículo de Apoio</t>
  </si>
  <si>
    <t xml:space="preserve">Valor Residual ( 5 anos ) </t>
  </si>
  <si>
    <t>TOTAL DOS VEÍCULOS</t>
  </si>
  <si>
    <t>TOTAL RESIDUAL</t>
  </si>
  <si>
    <t>TOTAL VALOR À DEPRECIAR</t>
  </si>
  <si>
    <t>% mês</t>
  </si>
  <si>
    <t>DEPRECIAÇÃO DA FROTA ( 5 anos )</t>
  </si>
  <si>
    <t>PARA CÁLCULO DO IPVA</t>
  </si>
  <si>
    <t>3.3</t>
  </si>
  <si>
    <t>Impostos e Seguros</t>
  </si>
  <si>
    <t>IPVA</t>
  </si>
  <si>
    <t>Seguro Obrigatório - Caminhões</t>
  </si>
  <si>
    <t>Licenciamento - Caminhões</t>
  </si>
  <si>
    <t>Seguro Obrigatório - Veículo de Apoio</t>
  </si>
  <si>
    <t>Licenciamento - Veículo de Apoio</t>
  </si>
  <si>
    <t>Custo Anual</t>
  </si>
  <si>
    <t>Custo por Mês</t>
  </si>
  <si>
    <t>TOTAL DOS CUSTOS FIXOS</t>
  </si>
  <si>
    <t>4.0</t>
  </si>
  <si>
    <t>4.1</t>
  </si>
  <si>
    <t>Caminhão Compactador</t>
  </si>
  <si>
    <t>km rodado</t>
  </si>
  <si>
    <t>Consumo Diesel por km/rodado</t>
  </si>
  <si>
    <t>Consumo de Óleo Motor</t>
  </si>
  <si>
    <t>Consumo de Óleo Transmissão</t>
  </si>
  <si>
    <t>Consumo de Óleo Hidraúlico</t>
  </si>
  <si>
    <t>Consumo Graxa</t>
  </si>
  <si>
    <t>CONSUMO DE COMBUSTÍVEIS POR CAMINHÃO</t>
  </si>
  <si>
    <t>km rodado p/caminhão</t>
  </si>
  <si>
    <t>Consumo Gasolina km/rodado</t>
  </si>
  <si>
    <t>TOTAL DO CONSUMO POR VEÍCULO</t>
  </si>
  <si>
    <t>TOTAL CONSUMO GERAL DE COMBUSTÍVEIS</t>
  </si>
  <si>
    <t>5.0</t>
  </si>
  <si>
    <t>CONSUMO DE PNEUS</t>
  </si>
  <si>
    <t>5.1</t>
  </si>
  <si>
    <t>Jogo de Pneus</t>
  </si>
  <si>
    <t>Custo do Jogo de Pneus</t>
  </si>
  <si>
    <t>Km/jogo</t>
  </si>
  <si>
    <t>Custo mensal com pneus</t>
  </si>
  <si>
    <t>km</t>
  </si>
  <si>
    <t>5.2</t>
  </si>
  <si>
    <t>Veículo de Aopio</t>
  </si>
  <si>
    <t>CUSTO TOTAL DOS PNEUS</t>
  </si>
  <si>
    <t>6.0</t>
  </si>
  <si>
    <t>7.0</t>
  </si>
  <si>
    <t>MãO DE OBRA</t>
  </si>
  <si>
    <t>DEMAIS CUSTOS</t>
  </si>
  <si>
    <t>8.0</t>
  </si>
  <si>
    <t>CUSTOS ADMINISTRATIVOS</t>
  </si>
  <si>
    <t>9.0</t>
  </si>
  <si>
    <t>CUSTOS TOTAIS ( Base de Cálculo para Lucro )</t>
  </si>
  <si>
    <t>10.0</t>
  </si>
  <si>
    <t>11.0</t>
  </si>
  <si>
    <t xml:space="preserve">TOTAL </t>
  </si>
  <si>
    <t>IMPOSTOS E TAXAS</t>
  </si>
  <si>
    <t>15T POR DIA X 30DIAS</t>
  </si>
  <si>
    <t>Calça (laranja com refletiva verde )</t>
  </si>
  <si>
    <t>Camisa manga longa ( laranja com refletiva verde )</t>
  </si>
  <si>
    <t>Salário Base( inclusive encargos sociais )</t>
  </si>
  <si>
    <t>Preço Unit. s/BDI</t>
  </si>
  <si>
    <t>Salário Base ( inclusive encargos sociais)</t>
  </si>
  <si>
    <t>Protetor Solar - 200ml</t>
  </si>
  <si>
    <t>Luva Pvc 35cm Palma Áspera Forrada Esgoto Aterro Coleta Lixo</t>
  </si>
  <si>
    <t>Capa De Chuva Amarela Com Capuz Pvc Forrada Proteção</t>
  </si>
  <si>
    <t>Caminhão Chassi para a Coleta com compactador</t>
  </si>
  <si>
    <t>Vw 17260 4x2 Ano 2018 Com Compactador De Lixo 15m³</t>
  </si>
  <si>
    <t xml:space="preserve"> </t>
  </si>
  <si>
    <t>km/1</t>
  </si>
  <si>
    <t>1/1000km</t>
  </si>
  <si>
    <t>TOTAL km Rodados ( 03 caminhões )</t>
  </si>
  <si>
    <t>TOTAL DO MÊS por caminão</t>
  </si>
  <si>
    <t>TOTAL DOS CUSTOS ( ITENS DE 1 À 5 )</t>
  </si>
  <si>
    <t>4.2</t>
  </si>
  <si>
    <t>t/mês</t>
  </si>
  <si>
    <t>REMUNERAÇÃO DA EMPRESA ( LUCRO )</t>
  </si>
  <si>
    <t>11.1</t>
  </si>
  <si>
    <t>TRIBUTOS LEGAIS ( PIS, COFINS, ISS )</t>
  </si>
  <si>
    <t>DESPESAS GERAIS ADMINISTRATIVAS/REMUNERAÇÃO DA EMPRESA/TRIBUTOS LEGAIS</t>
  </si>
  <si>
    <t>7.1</t>
  </si>
  <si>
    <t>CUSTO DIRETO TOTAL MENSAL</t>
  </si>
  <si>
    <t>7.1.1</t>
  </si>
  <si>
    <t>DESPESAS GERAIS ADMINISTRATIVAS</t>
  </si>
  <si>
    <t>7.1.2</t>
  </si>
  <si>
    <t>REMUNERAÇÃO DA EMPRESA</t>
  </si>
  <si>
    <t>7.1.3</t>
  </si>
  <si>
    <t>TRIBUTOS LEGAIS ( PIS,COFINS,ISS)</t>
  </si>
  <si>
    <t>TOTAL GERAL MENSAL</t>
  </si>
  <si>
    <t>CUSTO UNITÁRIO POR TONELADA DE RESÍDUO COLETADO</t>
  </si>
  <si>
    <t>8.1</t>
  </si>
  <si>
    <t>8.2</t>
  </si>
  <si>
    <t>PESO TOTAL COLETADO</t>
  </si>
  <si>
    <t>ton.</t>
  </si>
  <si>
    <t>Quant./dia</t>
  </si>
  <si>
    <t>Unit.</t>
  </si>
  <si>
    <t>Dias/Mês</t>
  </si>
  <si>
    <t>TOTAL DO MÊS por caminhão</t>
  </si>
  <si>
    <t xml:space="preserve">ANEXO IX </t>
  </si>
  <si>
    <t>PLANILHA DE COMPOSIÇÃO DE CUSTOS</t>
  </si>
  <si>
    <t>SubTotal do Custos Indiretos</t>
  </si>
  <si>
    <t>2.3</t>
  </si>
  <si>
    <t>Benefício Social Familiar</t>
  </si>
  <si>
    <t>Benefício Social Familiar Coletores (09)</t>
  </si>
  <si>
    <t>Benefício Social Familiar Motoristas (03)</t>
  </si>
  <si>
    <t>SubTotal dos Benefícios Sociais</t>
  </si>
  <si>
    <t>TOTAL GERAL ANUAL</t>
  </si>
  <si>
    <t>FUNÇÃO</t>
  </si>
  <si>
    <t>COLETOR</t>
  </si>
  <si>
    <t>Referência</t>
  </si>
  <si>
    <t>Percentual</t>
  </si>
  <si>
    <t>Encargos</t>
  </si>
  <si>
    <t>Verbas Salariais</t>
  </si>
  <si>
    <t>Adicional Insalubridade ( sobre Salário Mínimo )</t>
  </si>
  <si>
    <t>Salário - Base</t>
  </si>
  <si>
    <t>13° Salário</t>
  </si>
  <si>
    <t>Férias</t>
  </si>
  <si>
    <t>FGTS</t>
  </si>
  <si>
    <t>FGTS S/ 13° Salário e Férias</t>
  </si>
  <si>
    <t>INSS</t>
  </si>
  <si>
    <t>INSS s/ 13° Salário/Férias/DSR</t>
  </si>
  <si>
    <t>SAT</t>
  </si>
  <si>
    <t>Terceiros</t>
  </si>
  <si>
    <t>FGTS/Prov s/ Multa Rescisória</t>
  </si>
  <si>
    <t>Custo/Encargo</t>
  </si>
  <si>
    <t>Custo do Profissional/Mensal</t>
  </si>
  <si>
    <t>MOTORISTA</t>
  </si>
  <si>
    <t>Verbas Salarias</t>
  </si>
  <si>
    <t xml:space="preserve">Salário </t>
  </si>
  <si>
    <t>Salário</t>
  </si>
  <si>
    <t>SUPERVISOR/FISCAL DE COLETA</t>
  </si>
  <si>
    <t>Vale Refeição Supervisor/Fiscal de Coleta ( 01 )</t>
  </si>
  <si>
    <t>Benefício Social Familiar Supervisor/ Fiscal de Coleta (01)</t>
  </si>
  <si>
    <t>EPIs e Vestuário do Supervisor/Fiscal de Coleta e Motorista</t>
  </si>
  <si>
    <t>Total do Efetivo ( motorista e supervisor/fiscal )</t>
  </si>
  <si>
    <t>CUSTO TOTAL DE MÃO DE OBRA INDIRETO</t>
  </si>
  <si>
    <t>CUSTOS DE MÃO DE OBRA INDIRETO</t>
  </si>
  <si>
    <t>MÃO DE OBRA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</si>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</sst>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R$&quot;\ #,##0;[Red]\-&quot;R$&quot;\ #,##0"/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44" fontId="0" fillId="0" borderId="1" xfId="0" applyNumberFormat="1" applyBorder="1"/>
    <xf numFmtId="0" fontId="1" fillId="0" borderId="1" xfId="0" applyFont="1" applyBorder="1" applyAlignment="1">
      <alignment horizontal="left"/>
    </xf>
    <xf numFmtId="44" fontId="1" fillId="0" borderId="1" xfId="0" applyNumberFormat="1" applyFont="1" applyBorder="1"/>
    <xf numFmtId="44" fontId="1" fillId="2" borderId="1" xfId="0" applyNumberFormat="1" applyFont="1" applyFill="1" applyBorder="1"/>
    <xf numFmtId="0" fontId="0" fillId="2" borderId="1" xfId="0" applyFill="1" applyBorder="1"/>
    <xf numFmtId="2" fontId="1" fillId="0" borderId="1" xfId="0" applyNumberFormat="1" applyFont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0" fillId="3" borderId="1" xfId="0" applyFill="1" applyBorder="1"/>
    <xf numFmtId="2" fontId="0" fillId="3" borderId="1" xfId="0" applyNumberFormat="1" applyFill="1" applyBorder="1"/>
    <xf numFmtId="44" fontId="0" fillId="3" borderId="1" xfId="0" applyNumberFormat="1" applyFill="1" applyBorder="1"/>
    <xf numFmtId="44" fontId="0" fillId="2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9" fontId="2" fillId="2" borderId="1" xfId="0" applyNumberFormat="1" applyFont="1" applyFill="1" applyBorder="1"/>
    <xf numFmtId="0" fontId="3" fillId="2" borderId="1" xfId="0" applyFont="1" applyFill="1" applyBorder="1"/>
    <xf numFmtId="44" fontId="3" fillId="2" borderId="1" xfId="0" applyNumberFormat="1" applyFont="1" applyFill="1" applyBorder="1"/>
    <xf numFmtId="10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6" fontId="5" fillId="0" borderId="0" xfId="0" applyNumberFormat="1" applyFont="1" applyAlignment="1">
      <alignment vertical="center" wrapText="1"/>
    </xf>
    <xf numFmtId="0" fontId="0" fillId="4" borderId="1" xfId="0" applyFill="1" applyBorder="1"/>
    <xf numFmtId="10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44" fontId="1" fillId="2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4" fontId="1" fillId="3" borderId="1" xfId="0" applyNumberFormat="1" applyFont="1" applyFill="1" applyBorder="1"/>
    <xf numFmtId="9" fontId="6" fillId="3" borderId="1" xfId="0" applyNumberFormat="1" applyFont="1" applyFill="1" applyBorder="1"/>
    <xf numFmtId="9" fontId="0" fillId="3" borderId="1" xfId="0" applyNumberFormat="1" applyFill="1" applyBorder="1" applyAlignment="1">
      <alignment horizontal="center"/>
    </xf>
    <xf numFmtId="0" fontId="7" fillId="3" borderId="1" xfId="0" applyFont="1" applyFill="1" applyBorder="1"/>
    <xf numFmtId="10" fontId="0" fillId="3" borderId="1" xfId="0" applyNumberFormat="1" applyFill="1" applyBorder="1" applyAlignment="1">
      <alignment horizontal="center"/>
    </xf>
    <xf numFmtId="10" fontId="0" fillId="2" borderId="1" xfId="0" applyNumberFormat="1" applyFill="1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44" fontId="0" fillId="0" borderId="1" xfId="1" applyFont="1" applyBorder="1"/>
    <xf numFmtId="0" fontId="1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1" xfId="0" applyFont="1" applyBorder="1"/>
    <xf numFmtId="44" fontId="0" fillId="0" borderId="2" xfId="0" applyNumberFormat="1" applyBorder="1" applyAlignment="1">
      <alignment horizontal="center"/>
    </xf>
    <xf numFmtId="44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0" fontId="0" fillId="0" borderId="2" xfId="0" applyNumberFormat="1" applyBorder="1" applyAlignment="1"/>
    <xf numFmtId="9" fontId="0" fillId="0" borderId="2" xfId="0" applyNumberFormat="1" applyBorder="1" applyAlignment="1"/>
    <xf numFmtId="10" fontId="0" fillId="0" borderId="6" xfId="0" applyNumberFormat="1" applyBorder="1" applyAlignment="1">
      <alignment horizontal="center"/>
    </xf>
    <xf numFmtId="44" fontId="0" fillId="0" borderId="1" xfId="0" applyNumberFormat="1" applyFont="1" applyBorder="1" applyAlignment="1">
      <alignment horizontal="left"/>
    </xf>
    <xf numFmtId="44" fontId="0" fillId="0" borderId="1" xfId="0" applyNumberFormat="1" applyFont="1" applyBorder="1"/>
    <xf numFmtId="9" fontId="0" fillId="0" borderId="6" xfId="0" applyNumberFormat="1" applyBorder="1" applyAlignment="1">
      <alignment horizontal="center"/>
    </xf>
    <xf numFmtId="44" fontId="0" fillId="0" borderId="2" xfId="0" applyNumberFormat="1" applyFont="1" applyBorder="1" applyAlignment="1">
      <alignment horizontal="center"/>
    </xf>
    <xf numFmtId="44" fontId="0" fillId="0" borderId="6" xfId="0" applyNumberFormat="1" applyFont="1" applyBorder="1" applyAlignment="1">
      <alignment horizontal="center"/>
    </xf>
    <xf numFmtId="44" fontId="1" fillId="5" borderId="1" xfId="0" applyNumberFormat="1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44</xdr:row>
      <xdr:rowOff>0</xdr:rowOff>
    </xdr:from>
    <xdr:to>
      <xdr:col>11</xdr:col>
      <xdr:colOff>304800</xdr:colOff>
      <xdr:row>45</xdr:row>
      <xdr:rowOff>114300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B1BEBEBD-D0E9-545A-6EBF-936CFBFD4596}"/>
            </a:ext>
          </a:extLst>
        </xdr:cNvPr>
        <xdr:cNvSpPr>
          <a:spLocks noChangeAspect="1" noChangeArrowheads="1"/>
        </xdr:cNvSpPr>
      </xdr:nvSpPr>
      <xdr:spPr bwMode="auto">
        <a:xfrm>
          <a:off x="10010775" y="902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90</xdr:row>
      <xdr:rowOff>0</xdr:rowOff>
    </xdr:from>
    <xdr:to>
      <xdr:col>8</xdr:col>
      <xdr:colOff>304800</xdr:colOff>
      <xdr:row>91</xdr:row>
      <xdr:rowOff>114300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4F0B7E9F-3CE5-474F-B6A6-02423D6081B1}"/>
            </a:ext>
          </a:extLst>
        </xdr:cNvPr>
        <xdr:cNvSpPr>
          <a:spLocks noChangeAspect="1" noChangeArrowheads="1"/>
        </xdr:cNvSpPr>
      </xdr:nvSpPr>
      <xdr:spPr bwMode="auto">
        <a:xfrm>
          <a:off x="13477875" y="902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175260</xdr:colOff>
      <xdr:row>0</xdr:row>
      <xdr:rowOff>121920</xdr:rowOff>
    </xdr:from>
    <xdr:to>
      <xdr:col>1</xdr:col>
      <xdr:colOff>266700</xdr:colOff>
      <xdr:row>6</xdr:row>
      <xdr:rowOff>53340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318A4812-1DC3-4AA4-EB4F-961024EE016C}"/>
            </a:ext>
          </a:extLst>
        </xdr:cNvPr>
        <xdr:cNvSpPr txBox="1"/>
      </xdr:nvSpPr>
      <xdr:spPr>
        <a:xfrm>
          <a:off x="175260" y="121920"/>
          <a:ext cx="1409700" cy="845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0</xdr:col>
      <xdr:colOff>347133</xdr:colOff>
      <xdr:row>0</xdr:row>
      <xdr:rowOff>138006</xdr:rowOff>
    </xdr:from>
    <xdr:to>
      <xdr:col>1</xdr:col>
      <xdr:colOff>364067</xdr:colOff>
      <xdr:row>4</xdr:row>
      <xdr:rowOff>91016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E5D88699-8028-1B7D-42F4-AA965271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33" y="138006"/>
          <a:ext cx="626534" cy="698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592667</xdr:colOff>
      <xdr:row>0</xdr:row>
      <xdr:rowOff>118534</xdr:rowOff>
    </xdr:from>
    <xdr:to>
      <xdr:col>3</xdr:col>
      <xdr:colOff>321734</xdr:colOff>
      <xdr:row>4</xdr:row>
      <xdr:rowOff>68581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78010BAB-A108-F72C-A7F4-C837089D8D3F}"/>
            </a:ext>
          </a:extLst>
        </xdr:cNvPr>
        <xdr:cNvSpPr txBox="1"/>
      </xdr:nvSpPr>
      <xdr:spPr>
        <a:xfrm>
          <a:off x="1202267" y="118534"/>
          <a:ext cx="4047067" cy="6951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/>
            <a:t>ESTADO</a:t>
          </a:r>
          <a:r>
            <a:rPr lang="pt-BR" sz="1100" b="1" baseline="0"/>
            <a:t> DO RIO DE JANEIRO</a:t>
          </a:r>
        </a:p>
        <a:p>
          <a:r>
            <a:rPr lang="pt-BR" sz="1200" baseline="0"/>
            <a:t>Prefeitura Municipal de Pinheiral</a:t>
          </a:r>
        </a:p>
        <a:p>
          <a:r>
            <a:rPr lang="pt-BR" sz="1200" baseline="0"/>
            <a:t>Secretária do Ambiente e Desenvolvimento Rural</a:t>
          </a:r>
          <a:endParaRPr lang="pt-BR" sz="1200"/>
        </a:p>
      </xdr:txBody>
    </xdr:sp>
    <xdr:clientData/>
  </xdr:twoCellAnchor>
  <xdr:twoCellAnchor>
    <xdr:from>
      <xdr:col>3</xdr:col>
      <xdr:colOff>548640</xdr:colOff>
      <xdr:row>1</xdr:row>
      <xdr:rowOff>0</xdr:rowOff>
    </xdr:from>
    <xdr:to>
      <xdr:col>6</xdr:col>
      <xdr:colOff>815340</xdr:colOff>
      <xdr:row>4</xdr:row>
      <xdr:rowOff>144780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41D2B628-1A8A-5CC4-3CA2-F373BD217494}"/>
            </a:ext>
          </a:extLst>
        </xdr:cNvPr>
        <xdr:cNvSpPr txBox="1"/>
      </xdr:nvSpPr>
      <xdr:spPr>
        <a:xfrm>
          <a:off x="5844540" y="182880"/>
          <a:ext cx="2682240" cy="693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4</xdr:col>
      <xdr:colOff>483447</xdr:colOff>
      <xdr:row>0</xdr:row>
      <xdr:rowOff>151554</xdr:rowOff>
    </xdr:from>
    <xdr:to>
      <xdr:col>6</xdr:col>
      <xdr:colOff>625264</xdr:colOff>
      <xdr:row>4</xdr:row>
      <xdr:rowOff>81492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4F41AC0-E414-0D63-C3DF-E05690EF8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0647" y="151554"/>
          <a:ext cx="2046817" cy="6750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85C7F-5514-408F-B011-432259DB1B68}">
  <dimension ref="A1:L109"/>
  <sheetViews>
    <sheetView topLeftCell="A85" workbookViewId="0">
      <selection activeCell="K117" sqref="K117"/>
    </sheetView>
  </sheetViews>
  <sheetFormatPr defaultRowHeight="14.4" x14ac:dyDescent="0.3"/>
  <cols>
    <col min="2" max="2" width="10.33203125" customWidth="1"/>
    <col min="3" max="3" width="45.109375" customWidth="1"/>
    <col min="4" max="4" width="12.88671875" customWidth="1"/>
    <col min="6" max="6" width="15.109375" customWidth="1"/>
    <col min="7" max="7" width="15.88671875" bestFit="1" customWidth="1"/>
    <col min="8" max="8" width="16.5546875" customWidth="1"/>
    <col min="11" max="11" width="49.6640625" customWidth="1"/>
  </cols>
  <sheetData>
    <row r="1" spans="1:8" x14ac:dyDescent="0.3">
      <c r="A1" s="51"/>
      <c r="B1" s="51"/>
      <c r="C1" s="51"/>
      <c r="D1" s="51"/>
      <c r="E1" s="51"/>
      <c r="F1" s="51"/>
      <c r="G1" s="51"/>
      <c r="H1" s="51"/>
    </row>
    <row r="2" spans="1:8" x14ac:dyDescent="0.3">
      <c r="A2" s="51"/>
      <c r="B2" s="51"/>
      <c r="C2" s="51"/>
      <c r="D2" s="51"/>
      <c r="E2" s="51"/>
      <c r="F2" s="51"/>
      <c r="G2" s="51"/>
      <c r="H2" s="51"/>
    </row>
    <row r="3" spans="1:8" ht="20.25" customHeight="1" x14ac:dyDescent="0.3">
      <c r="A3" s="49" t="s">
        <v>22</v>
      </c>
      <c r="B3" s="50"/>
      <c r="C3" s="50"/>
      <c r="D3" s="50"/>
      <c r="E3" s="50"/>
      <c r="F3" s="50"/>
      <c r="G3" s="50"/>
      <c r="H3" s="50"/>
    </row>
    <row r="4" spans="1:8" x14ac:dyDescent="0.3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11</v>
      </c>
      <c r="G4" s="7" t="s">
        <v>106</v>
      </c>
      <c r="H4" s="6" t="s">
        <v>5</v>
      </c>
    </row>
    <row r="5" spans="1:8" x14ac:dyDescent="0.3">
      <c r="A5" s="4">
        <v>1</v>
      </c>
      <c r="B5" s="5"/>
      <c r="C5" s="4" t="s">
        <v>6</v>
      </c>
      <c r="D5" s="1"/>
      <c r="E5" s="1"/>
      <c r="F5" s="1"/>
      <c r="G5" s="1"/>
      <c r="H5" s="1"/>
    </row>
    <row r="6" spans="1:8" x14ac:dyDescent="0.3">
      <c r="A6" s="5" t="s">
        <v>7</v>
      </c>
      <c r="B6" s="5"/>
      <c r="C6" s="5" t="s">
        <v>8</v>
      </c>
      <c r="D6" s="2"/>
      <c r="E6" s="1"/>
      <c r="F6" s="1"/>
      <c r="G6" s="1"/>
      <c r="H6" s="1"/>
    </row>
    <row r="7" spans="1:8" x14ac:dyDescent="0.3">
      <c r="A7" s="1"/>
      <c r="B7" s="1"/>
      <c r="C7" s="1" t="s">
        <v>105</v>
      </c>
      <c r="D7" s="2" t="s">
        <v>10</v>
      </c>
      <c r="E7" s="8">
        <v>220</v>
      </c>
      <c r="F7" s="8"/>
      <c r="G7" s="9">
        <f>3696/220</f>
        <v>16.8</v>
      </c>
      <c r="H7" s="9">
        <f>E7*G7</f>
        <v>3696</v>
      </c>
    </row>
    <row r="8" spans="1:8" x14ac:dyDescent="0.3">
      <c r="A8" s="1"/>
      <c r="B8" s="1"/>
      <c r="C8" s="1" t="s">
        <v>17</v>
      </c>
      <c r="D8" s="2" t="s">
        <v>11</v>
      </c>
      <c r="E8" s="8"/>
      <c r="F8" s="8">
        <v>0.4</v>
      </c>
      <c r="G8" s="9"/>
      <c r="H8" s="9">
        <f>F8*H7</f>
        <v>1478.4</v>
      </c>
    </row>
    <row r="9" spans="1:8" x14ac:dyDescent="0.3">
      <c r="A9" s="1"/>
      <c r="B9" s="1"/>
      <c r="C9" s="1" t="s">
        <v>12</v>
      </c>
      <c r="D9" s="1"/>
      <c r="E9" s="1"/>
      <c r="F9" s="1"/>
      <c r="G9" s="9"/>
      <c r="H9" s="9">
        <f>H7+H8</f>
        <v>5174.3999999999996</v>
      </c>
    </row>
    <row r="10" spans="1:8" x14ac:dyDescent="0.3">
      <c r="A10" s="5"/>
      <c r="B10" s="5"/>
      <c r="C10" s="5" t="s">
        <v>13</v>
      </c>
      <c r="D10" s="4" t="s">
        <v>14</v>
      </c>
      <c r="E10" s="14">
        <v>3</v>
      </c>
      <c r="F10" s="14"/>
      <c r="G10" s="11">
        <f>H9</f>
        <v>5174.3999999999996</v>
      </c>
      <c r="H10" s="11">
        <f t="shared" ref="H10" si="0">E10*G10</f>
        <v>15523.199999999999</v>
      </c>
    </row>
    <row r="11" spans="1:8" x14ac:dyDescent="0.3">
      <c r="A11" s="1"/>
      <c r="B11" s="1"/>
      <c r="C11" s="1"/>
      <c r="D11" s="1"/>
      <c r="E11" s="1"/>
      <c r="F11" s="1"/>
      <c r="G11" s="1"/>
      <c r="H11" s="1"/>
    </row>
    <row r="12" spans="1:8" x14ac:dyDescent="0.3">
      <c r="A12" s="5" t="s">
        <v>15</v>
      </c>
      <c r="B12" s="5"/>
      <c r="C12" s="5" t="s">
        <v>16</v>
      </c>
      <c r="D12" s="1"/>
      <c r="E12" s="1"/>
      <c r="F12" s="1"/>
      <c r="G12" s="1"/>
      <c r="H12" s="1"/>
    </row>
    <row r="13" spans="1:8" x14ac:dyDescent="0.3">
      <c r="A13" s="1"/>
      <c r="B13" s="1"/>
      <c r="C13" s="1" t="s">
        <v>107</v>
      </c>
      <c r="D13" s="2" t="s">
        <v>10</v>
      </c>
      <c r="E13" s="8">
        <v>220</v>
      </c>
      <c r="F13" s="8"/>
      <c r="G13" s="9">
        <v>14.03</v>
      </c>
      <c r="H13" s="9">
        <f>E13*G13</f>
        <v>3086.6</v>
      </c>
    </row>
    <row r="14" spans="1:8" x14ac:dyDescent="0.3">
      <c r="A14" s="1"/>
      <c r="B14" s="1"/>
      <c r="C14" s="1" t="s">
        <v>17</v>
      </c>
      <c r="D14" s="2" t="s">
        <v>11</v>
      </c>
      <c r="E14" s="8"/>
      <c r="F14" s="8">
        <v>0.4</v>
      </c>
      <c r="G14" s="9"/>
      <c r="H14" s="9">
        <f>F14*H13</f>
        <v>1234.6400000000001</v>
      </c>
    </row>
    <row r="15" spans="1:8" x14ac:dyDescent="0.3">
      <c r="A15" s="1"/>
      <c r="B15" s="1"/>
      <c r="C15" s="1" t="s">
        <v>18</v>
      </c>
      <c r="D15" s="1"/>
      <c r="E15" s="1"/>
      <c r="F15" s="1"/>
      <c r="G15" s="9"/>
      <c r="H15" s="9">
        <f>H13+H14</f>
        <v>4321.24</v>
      </c>
    </row>
    <row r="16" spans="1:8" x14ac:dyDescent="0.3">
      <c r="A16" s="1"/>
      <c r="B16" s="1"/>
      <c r="C16" s="5" t="s">
        <v>13</v>
      </c>
      <c r="D16" s="4" t="s">
        <v>14</v>
      </c>
      <c r="E16" s="14">
        <v>9</v>
      </c>
      <c r="F16" s="8"/>
      <c r="G16" s="11">
        <f>H15</f>
        <v>4321.24</v>
      </c>
      <c r="H16" s="11">
        <f t="shared" ref="H16" si="1">E16*G16</f>
        <v>38891.159999999996</v>
      </c>
    </row>
    <row r="17" spans="1:8" x14ac:dyDescent="0.3">
      <c r="A17" s="1"/>
      <c r="B17" s="1"/>
      <c r="C17" s="1"/>
      <c r="D17" s="1"/>
      <c r="E17" s="1"/>
      <c r="F17" s="1"/>
      <c r="G17" s="1"/>
      <c r="H17" s="1"/>
    </row>
    <row r="18" spans="1:8" x14ac:dyDescent="0.3">
      <c r="A18" s="5" t="s">
        <v>19</v>
      </c>
      <c r="B18" s="1"/>
      <c r="C18" s="5" t="s">
        <v>20</v>
      </c>
      <c r="D18" s="1"/>
      <c r="E18" s="1"/>
      <c r="F18" s="1"/>
      <c r="G18" s="1"/>
      <c r="H18" s="1"/>
    </row>
    <row r="19" spans="1:8" x14ac:dyDescent="0.3">
      <c r="A19" s="1"/>
      <c r="B19" s="1"/>
      <c r="C19" s="1" t="s">
        <v>9</v>
      </c>
      <c r="D19" s="2" t="s">
        <v>10</v>
      </c>
      <c r="E19" s="8">
        <v>220</v>
      </c>
      <c r="F19" s="8"/>
      <c r="G19" s="9">
        <v>32.26</v>
      </c>
      <c r="H19" s="9">
        <f>E19*G19</f>
        <v>7097.2</v>
      </c>
    </row>
    <row r="20" spans="1:8" x14ac:dyDescent="0.3">
      <c r="A20" s="1"/>
      <c r="B20" s="1"/>
      <c r="C20" s="1" t="s">
        <v>17</v>
      </c>
      <c r="D20" s="2" t="s">
        <v>11</v>
      </c>
      <c r="E20" s="8"/>
      <c r="F20" s="8">
        <v>0.4</v>
      </c>
      <c r="G20" s="9"/>
      <c r="H20" s="9">
        <f>H19*F20</f>
        <v>2838.88</v>
      </c>
    </row>
    <row r="21" spans="1:8" x14ac:dyDescent="0.3">
      <c r="A21" s="1"/>
      <c r="B21" s="1"/>
      <c r="C21" s="1" t="s">
        <v>21</v>
      </c>
      <c r="D21" s="1"/>
      <c r="E21" s="1"/>
      <c r="F21" s="1"/>
      <c r="G21" s="9"/>
      <c r="H21" s="9">
        <f>H19+H20</f>
        <v>9936.08</v>
      </c>
    </row>
    <row r="22" spans="1:8" x14ac:dyDescent="0.3">
      <c r="A22" s="1"/>
      <c r="B22" s="1"/>
      <c r="C22" s="5" t="s">
        <v>13</v>
      </c>
      <c r="D22" s="4" t="s">
        <v>14</v>
      </c>
      <c r="E22" s="14">
        <v>1</v>
      </c>
      <c r="F22" s="14"/>
      <c r="G22" s="11">
        <f>H21</f>
        <v>9936.08</v>
      </c>
      <c r="H22" s="11">
        <f t="shared" ref="H22" si="2">E22*G22</f>
        <v>9936.08</v>
      </c>
    </row>
    <row r="23" spans="1:8" x14ac:dyDescent="0.3">
      <c r="A23" s="1"/>
      <c r="B23" s="1"/>
      <c r="C23" s="1"/>
      <c r="D23" s="1"/>
      <c r="E23" s="1"/>
      <c r="F23" s="1"/>
      <c r="G23" s="1"/>
      <c r="H23" s="1"/>
    </row>
    <row r="24" spans="1:8" x14ac:dyDescent="0.3">
      <c r="A24" s="52" t="s">
        <v>23</v>
      </c>
      <c r="B24" s="53"/>
      <c r="C24" s="53"/>
      <c r="D24" s="53"/>
      <c r="E24" s="53"/>
      <c r="F24" s="53"/>
      <c r="G24" s="53"/>
      <c r="H24" s="12">
        <f>SUM(H10+H16+H22)</f>
        <v>64350.439999999995</v>
      </c>
    </row>
    <row r="25" spans="1:8" x14ac:dyDescent="0.3">
      <c r="A25" s="10">
        <v>2</v>
      </c>
      <c r="B25" s="1"/>
      <c r="C25" s="5" t="s">
        <v>24</v>
      </c>
      <c r="D25" s="1"/>
      <c r="E25" s="1"/>
      <c r="F25" s="1"/>
      <c r="G25" s="1"/>
      <c r="H25" s="1"/>
    </row>
    <row r="26" spans="1:8" x14ac:dyDescent="0.3">
      <c r="A26" s="5" t="s">
        <v>25</v>
      </c>
      <c r="B26" s="5"/>
      <c r="C26" s="5" t="s">
        <v>26</v>
      </c>
      <c r="D26" s="2"/>
      <c r="E26" s="1"/>
      <c r="F26" s="1"/>
      <c r="G26" s="1"/>
      <c r="H26" s="1"/>
    </row>
    <row r="27" spans="1:8" x14ac:dyDescent="0.3">
      <c r="A27" s="1"/>
      <c r="B27" s="1"/>
      <c r="C27" s="1" t="s">
        <v>28</v>
      </c>
      <c r="D27" s="2" t="s">
        <v>27</v>
      </c>
      <c r="E27" s="1">
        <f>26*9</f>
        <v>234</v>
      </c>
      <c r="F27" s="1"/>
      <c r="G27" s="9">
        <v>16</v>
      </c>
      <c r="H27" s="9">
        <f>E27*G27</f>
        <v>3744</v>
      </c>
    </row>
    <row r="28" spans="1:8" x14ac:dyDescent="0.3">
      <c r="A28" s="1"/>
      <c r="B28" s="1"/>
      <c r="C28" s="1" t="s">
        <v>29</v>
      </c>
      <c r="D28" s="2" t="s">
        <v>27</v>
      </c>
      <c r="E28" s="1">
        <f>26*3</f>
        <v>78</v>
      </c>
      <c r="F28" s="1"/>
      <c r="G28" s="9">
        <v>16</v>
      </c>
      <c r="H28" s="9">
        <f t="shared" ref="H28:H29" si="3">E28*G28</f>
        <v>1248</v>
      </c>
    </row>
    <row r="29" spans="1:8" x14ac:dyDescent="0.3">
      <c r="A29" s="1"/>
      <c r="B29" s="1"/>
      <c r="C29" s="1" t="s">
        <v>30</v>
      </c>
      <c r="D29" s="2" t="s">
        <v>27</v>
      </c>
      <c r="E29" s="1">
        <v>26</v>
      </c>
      <c r="F29" s="1"/>
      <c r="G29" s="9">
        <v>16</v>
      </c>
      <c r="H29" s="9">
        <f t="shared" si="3"/>
        <v>416</v>
      </c>
    </row>
    <row r="30" spans="1:8" x14ac:dyDescent="0.3">
      <c r="A30" s="13"/>
      <c r="B30" s="13"/>
      <c r="C30" s="15" t="s">
        <v>13</v>
      </c>
      <c r="D30" s="21"/>
      <c r="E30" s="15"/>
      <c r="F30" s="15"/>
      <c r="G30" s="13"/>
      <c r="H30" s="12">
        <f>SUM(H27:H29)</f>
        <v>5408</v>
      </c>
    </row>
    <row r="31" spans="1:8" x14ac:dyDescent="0.3">
      <c r="A31" s="1"/>
      <c r="B31" s="1"/>
      <c r="C31" s="1"/>
      <c r="D31" s="2"/>
      <c r="E31" s="1"/>
      <c r="F31" s="1"/>
      <c r="G31" s="1"/>
      <c r="H31" s="1"/>
    </row>
    <row r="32" spans="1:8" x14ac:dyDescent="0.3">
      <c r="A32" s="1" t="s">
        <v>31</v>
      </c>
      <c r="B32" s="1"/>
      <c r="C32" s="5" t="s">
        <v>32</v>
      </c>
      <c r="D32" s="1"/>
      <c r="E32" s="1"/>
      <c r="F32" s="1"/>
      <c r="G32" s="1"/>
      <c r="H32" s="1"/>
    </row>
    <row r="33" spans="1:11" x14ac:dyDescent="0.3">
      <c r="A33" s="1"/>
      <c r="B33" s="1"/>
      <c r="C33" s="1" t="s">
        <v>108</v>
      </c>
      <c r="D33" s="2" t="s">
        <v>35</v>
      </c>
      <c r="E33" s="8">
        <v>1</v>
      </c>
      <c r="F33" s="8"/>
      <c r="G33" s="9">
        <v>69.900000000000006</v>
      </c>
      <c r="H33" s="9">
        <f>E33*G33</f>
        <v>69.900000000000006</v>
      </c>
    </row>
    <row r="34" spans="1:11" x14ac:dyDescent="0.3">
      <c r="A34" s="1"/>
      <c r="B34" s="1"/>
      <c r="C34" s="1" t="s">
        <v>103</v>
      </c>
      <c r="D34" s="2" t="s">
        <v>35</v>
      </c>
      <c r="E34" s="8">
        <v>0.25</v>
      </c>
      <c r="F34" s="8"/>
      <c r="G34" s="9">
        <v>95</v>
      </c>
      <c r="H34" s="9">
        <f t="shared" ref="H34:H39" si="4">E34*G34</f>
        <v>23.75</v>
      </c>
    </row>
    <row r="35" spans="1:11" x14ac:dyDescent="0.3">
      <c r="A35" s="1"/>
      <c r="B35" s="1"/>
      <c r="C35" s="1" t="s">
        <v>104</v>
      </c>
      <c r="D35" s="2" t="s">
        <v>35</v>
      </c>
      <c r="E35" s="8">
        <v>1</v>
      </c>
      <c r="F35" s="8"/>
      <c r="G35" s="9">
        <v>125</v>
      </c>
      <c r="H35" s="9">
        <f t="shared" si="4"/>
        <v>125</v>
      </c>
    </row>
    <row r="36" spans="1:11" x14ac:dyDescent="0.3">
      <c r="A36" s="1"/>
      <c r="B36" s="1"/>
      <c r="C36" s="1" t="s">
        <v>33</v>
      </c>
      <c r="D36" s="2" t="s">
        <v>35</v>
      </c>
      <c r="E36" s="8">
        <v>0.25</v>
      </c>
      <c r="F36" s="8"/>
      <c r="G36" s="9">
        <v>14.73</v>
      </c>
      <c r="H36" s="9">
        <f t="shared" si="4"/>
        <v>3.6825000000000001</v>
      </c>
    </row>
    <row r="37" spans="1:11" ht="28.8" x14ac:dyDescent="0.3">
      <c r="A37" s="1"/>
      <c r="B37" s="1"/>
      <c r="C37" s="22" t="s">
        <v>109</v>
      </c>
      <c r="D37" s="2" t="s">
        <v>35</v>
      </c>
      <c r="E37" s="8">
        <v>8</v>
      </c>
      <c r="F37" s="8"/>
      <c r="G37" s="9">
        <v>31.9</v>
      </c>
      <c r="H37" s="9">
        <f t="shared" si="4"/>
        <v>255.2</v>
      </c>
    </row>
    <row r="38" spans="1:11" ht="28.8" x14ac:dyDescent="0.3">
      <c r="A38" s="1"/>
      <c r="B38" s="1"/>
      <c r="C38" s="22" t="s">
        <v>110</v>
      </c>
      <c r="D38" s="2" t="s">
        <v>35</v>
      </c>
      <c r="E38" s="8">
        <v>0.5</v>
      </c>
      <c r="F38" s="8"/>
      <c r="G38" s="9">
        <v>69.959999999999994</v>
      </c>
      <c r="H38" s="9">
        <f t="shared" si="4"/>
        <v>34.979999999999997</v>
      </c>
    </row>
    <row r="39" spans="1:11" x14ac:dyDescent="0.3">
      <c r="A39" s="1"/>
      <c r="B39" s="1"/>
      <c r="C39" s="1" t="s">
        <v>34</v>
      </c>
      <c r="D39" s="2" t="s">
        <v>35</v>
      </c>
      <c r="E39" s="8">
        <v>0.25</v>
      </c>
      <c r="F39" s="8"/>
      <c r="G39" s="9">
        <v>53.9</v>
      </c>
      <c r="H39" s="9">
        <f t="shared" si="4"/>
        <v>13.475</v>
      </c>
    </row>
    <row r="40" spans="1:11" x14ac:dyDescent="0.3">
      <c r="A40" s="1"/>
      <c r="B40" s="1"/>
      <c r="C40" s="5" t="s">
        <v>36</v>
      </c>
      <c r="D40" s="5"/>
      <c r="E40" s="5"/>
      <c r="F40" s="5"/>
      <c r="G40" s="5"/>
      <c r="H40" s="11">
        <f>H33+H34+H35+H36+H37+H38+H39</f>
        <v>525.98750000000007</v>
      </c>
    </row>
    <row r="41" spans="1:11" x14ac:dyDescent="0.3">
      <c r="A41" s="13"/>
      <c r="B41" s="13"/>
      <c r="C41" s="15" t="s">
        <v>38</v>
      </c>
      <c r="D41" s="15"/>
      <c r="E41" s="16">
        <f>9</f>
        <v>9</v>
      </c>
      <c r="F41" s="16"/>
      <c r="G41" s="13"/>
      <c r="H41" s="12">
        <f>E41*H40</f>
        <v>4733.8875000000007</v>
      </c>
    </row>
    <row r="42" spans="1:11" x14ac:dyDescent="0.3">
      <c r="A42" s="17"/>
      <c r="B42" s="17"/>
      <c r="C42" s="17" t="s">
        <v>37</v>
      </c>
      <c r="D42" s="2" t="s">
        <v>35</v>
      </c>
      <c r="E42" s="18">
        <v>0.5</v>
      </c>
      <c r="F42" s="18"/>
      <c r="G42" s="19">
        <f>H40</f>
        <v>525.98750000000007</v>
      </c>
      <c r="H42" s="19">
        <f>G42*E42</f>
        <v>262.99375000000003</v>
      </c>
    </row>
    <row r="43" spans="1:11" x14ac:dyDescent="0.3">
      <c r="A43" s="15"/>
      <c r="B43" s="15"/>
      <c r="C43" s="15" t="s">
        <v>39</v>
      </c>
      <c r="D43" s="27" t="s">
        <v>27</v>
      </c>
      <c r="E43" s="16">
        <f>E22+E10</f>
        <v>4</v>
      </c>
      <c r="F43" s="16"/>
      <c r="G43" s="15"/>
      <c r="H43" s="12">
        <f>E43*H42</f>
        <v>1051.9750000000001</v>
      </c>
    </row>
    <row r="44" spans="1:11" x14ac:dyDescent="0.3">
      <c r="A44" s="13"/>
      <c r="B44" s="13"/>
      <c r="C44" s="15" t="s">
        <v>40</v>
      </c>
      <c r="D44" s="13"/>
      <c r="E44" s="13"/>
      <c r="F44" s="13"/>
      <c r="G44" s="13"/>
      <c r="H44" s="12">
        <f>H30+H41+H43</f>
        <v>11193.862500000001</v>
      </c>
    </row>
    <row r="46" spans="1:11" x14ac:dyDescent="0.3">
      <c r="A46" s="1" t="s">
        <v>41</v>
      </c>
      <c r="B46" s="1"/>
      <c r="C46" s="5" t="s">
        <v>42</v>
      </c>
      <c r="D46" s="1"/>
      <c r="E46" s="1"/>
      <c r="F46" s="1"/>
      <c r="G46" s="1"/>
      <c r="H46" s="1"/>
    </row>
    <row r="47" spans="1:11" x14ac:dyDescent="0.3">
      <c r="A47" s="5" t="s">
        <v>43</v>
      </c>
      <c r="B47" s="5"/>
      <c r="C47" s="5" t="s">
        <v>111</v>
      </c>
      <c r="D47" s="2" t="s">
        <v>27</v>
      </c>
      <c r="E47" s="8">
        <v>3</v>
      </c>
      <c r="F47" s="8"/>
      <c r="G47" s="9">
        <f>285000+155000</f>
        <v>440000</v>
      </c>
      <c r="H47" s="9">
        <f>E47*G47</f>
        <v>1320000</v>
      </c>
      <c r="K47" s="30" t="s">
        <v>112</v>
      </c>
    </row>
    <row r="48" spans="1:11" x14ac:dyDescent="0.3">
      <c r="A48" s="1"/>
      <c r="B48" s="1"/>
      <c r="C48" s="1" t="s">
        <v>44</v>
      </c>
      <c r="D48" s="2" t="s">
        <v>11</v>
      </c>
      <c r="E48" s="8">
        <v>3</v>
      </c>
      <c r="F48" s="8">
        <v>0.55000000000000004</v>
      </c>
      <c r="G48" s="9">
        <f>G47*F48</f>
        <v>242000.00000000003</v>
      </c>
      <c r="H48" s="9">
        <f>E48*G48</f>
        <v>726000.00000000012</v>
      </c>
      <c r="K48" s="32">
        <v>380000</v>
      </c>
    </row>
    <row r="49" spans="1:11" x14ac:dyDescent="0.3">
      <c r="A49" s="1"/>
      <c r="B49" s="1"/>
      <c r="C49" s="5" t="s">
        <v>46</v>
      </c>
      <c r="D49" s="4" t="s">
        <v>11</v>
      </c>
      <c r="E49" s="14">
        <v>3</v>
      </c>
      <c r="F49" s="14">
        <v>0.45</v>
      </c>
      <c r="G49" s="11">
        <v>141750</v>
      </c>
      <c r="H49" s="11">
        <f>E49*G49</f>
        <v>425250</v>
      </c>
      <c r="K49" s="31"/>
    </row>
    <row r="50" spans="1:11" x14ac:dyDescent="0.3">
      <c r="A50" s="1"/>
      <c r="B50" s="1"/>
      <c r="C50" s="1"/>
      <c r="D50" s="2"/>
      <c r="E50" s="8"/>
      <c r="F50" s="8"/>
      <c r="G50" s="1"/>
      <c r="H50" s="9"/>
    </row>
    <row r="51" spans="1:11" x14ac:dyDescent="0.3">
      <c r="A51" s="5" t="s">
        <v>45</v>
      </c>
      <c r="B51" s="5"/>
      <c r="C51" s="5" t="s">
        <v>47</v>
      </c>
      <c r="D51" s="2" t="s">
        <v>27</v>
      </c>
      <c r="E51" s="8">
        <v>1</v>
      </c>
      <c r="F51" s="8"/>
      <c r="G51" s="9">
        <v>112000</v>
      </c>
      <c r="H51" s="9">
        <f>E51*G51</f>
        <v>112000</v>
      </c>
    </row>
    <row r="52" spans="1:11" x14ac:dyDescent="0.3">
      <c r="A52" s="1"/>
      <c r="B52" s="1"/>
      <c r="C52" s="1" t="s">
        <v>48</v>
      </c>
      <c r="D52" s="2" t="s">
        <v>11</v>
      </c>
      <c r="E52" s="8">
        <v>1</v>
      </c>
      <c r="F52" s="8">
        <v>0.48</v>
      </c>
      <c r="G52" s="9">
        <f>H51*0.55</f>
        <v>61600.000000000007</v>
      </c>
      <c r="H52" s="9">
        <f>E52*G52</f>
        <v>61600.000000000007</v>
      </c>
    </row>
    <row r="53" spans="1:11" x14ac:dyDescent="0.3">
      <c r="A53" s="1"/>
      <c r="B53" s="1"/>
      <c r="C53" s="5" t="s">
        <v>46</v>
      </c>
      <c r="D53" s="4" t="s">
        <v>11</v>
      </c>
      <c r="E53" s="14">
        <v>1</v>
      </c>
      <c r="F53" s="14">
        <v>0.52</v>
      </c>
      <c r="G53" s="11">
        <f>G51*F53</f>
        <v>58240</v>
      </c>
      <c r="H53" s="11">
        <f>E53*G53</f>
        <v>58240</v>
      </c>
    </row>
    <row r="54" spans="1:11" x14ac:dyDescent="0.3">
      <c r="A54" s="1"/>
      <c r="B54" s="1"/>
      <c r="C54" s="1"/>
      <c r="D54" s="2"/>
      <c r="E54" s="8"/>
      <c r="F54" s="8"/>
      <c r="G54" s="1"/>
      <c r="H54" s="9"/>
    </row>
    <row r="55" spans="1:11" x14ac:dyDescent="0.3">
      <c r="A55" s="1"/>
      <c r="B55" s="1"/>
      <c r="C55" s="1" t="s">
        <v>49</v>
      </c>
      <c r="D55" s="1"/>
      <c r="E55" s="1"/>
      <c r="F55" s="1"/>
      <c r="G55" s="1"/>
      <c r="H55" s="9">
        <f>H47+H51</f>
        <v>1432000</v>
      </c>
    </row>
    <row r="56" spans="1:11" x14ac:dyDescent="0.3">
      <c r="A56" s="1"/>
      <c r="B56" s="1"/>
      <c r="C56" s="1" t="s">
        <v>50</v>
      </c>
      <c r="D56" s="1"/>
      <c r="E56" s="1"/>
      <c r="F56" s="1"/>
      <c r="G56" s="1"/>
      <c r="H56" s="9">
        <f>H48+H52</f>
        <v>787600.00000000012</v>
      </c>
    </row>
    <row r="57" spans="1:11" x14ac:dyDescent="0.3">
      <c r="A57" s="1"/>
      <c r="B57" s="1"/>
      <c r="C57" s="1" t="s">
        <v>51</v>
      </c>
      <c r="D57" s="1"/>
      <c r="E57" s="1"/>
      <c r="F57" s="1"/>
      <c r="G57" s="1"/>
      <c r="H57" s="9">
        <f>H49+H53</f>
        <v>483490</v>
      </c>
    </row>
    <row r="58" spans="1:11" x14ac:dyDescent="0.3">
      <c r="A58" s="13"/>
      <c r="B58" s="13"/>
      <c r="C58" s="13" t="s">
        <v>53</v>
      </c>
      <c r="D58" s="28" t="s">
        <v>52</v>
      </c>
      <c r="E58" s="29">
        <v>60</v>
      </c>
      <c r="F58" s="13"/>
      <c r="G58" s="13"/>
      <c r="H58" s="12">
        <f>H57/60</f>
        <v>8058.166666666667</v>
      </c>
    </row>
    <row r="59" spans="1:11" x14ac:dyDescent="0.3">
      <c r="A59" s="1"/>
      <c r="B59" s="1"/>
      <c r="C59" s="1"/>
      <c r="D59" s="1"/>
      <c r="E59" s="1"/>
      <c r="F59" s="1"/>
      <c r="G59" s="1"/>
      <c r="H59" s="9"/>
    </row>
    <row r="60" spans="1:11" x14ac:dyDescent="0.3">
      <c r="A60" s="1"/>
      <c r="B60" s="1"/>
      <c r="C60" s="1" t="s">
        <v>54</v>
      </c>
      <c r="D60" s="1"/>
      <c r="E60" s="1"/>
      <c r="F60" s="1"/>
      <c r="G60" s="1"/>
      <c r="H60" s="20">
        <f>H55</f>
        <v>1432000</v>
      </c>
    </row>
    <row r="61" spans="1:11" x14ac:dyDescent="0.3">
      <c r="A61" s="1"/>
      <c r="B61" s="1"/>
      <c r="C61" s="1"/>
      <c r="D61" s="1"/>
      <c r="E61" s="1"/>
      <c r="F61" s="1"/>
      <c r="G61" s="1"/>
      <c r="H61" s="1" t="s">
        <v>113</v>
      </c>
    </row>
    <row r="62" spans="1:11" x14ac:dyDescent="0.3">
      <c r="A62" s="5" t="s">
        <v>55</v>
      </c>
      <c r="B62" s="5"/>
      <c r="C62" s="5" t="s">
        <v>56</v>
      </c>
      <c r="D62" s="1"/>
      <c r="E62" s="1"/>
      <c r="F62" s="9"/>
      <c r="G62" s="1"/>
      <c r="H62" s="9"/>
    </row>
    <row r="63" spans="1:11" x14ac:dyDescent="0.3">
      <c r="A63" s="1"/>
      <c r="B63" s="1"/>
      <c r="C63" s="1" t="s">
        <v>57</v>
      </c>
      <c r="D63" s="2" t="s">
        <v>11</v>
      </c>
      <c r="E63" s="1">
        <v>0.01</v>
      </c>
      <c r="F63" s="9"/>
      <c r="G63" s="9">
        <f>H55</f>
        <v>1432000</v>
      </c>
      <c r="H63" s="9">
        <f>E63*G63</f>
        <v>14320</v>
      </c>
    </row>
    <row r="64" spans="1:11" x14ac:dyDescent="0.3">
      <c r="A64" s="1"/>
      <c r="B64" s="1"/>
      <c r="C64" s="1" t="s">
        <v>58</v>
      </c>
      <c r="D64" s="2" t="s">
        <v>27</v>
      </c>
      <c r="E64" s="8">
        <v>3</v>
      </c>
      <c r="F64" s="1"/>
      <c r="G64" s="33"/>
      <c r="H64" s="9">
        <f t="shared" ref="H64:H67" si="5">E64*F64</f>
        <v>0</v>
      </c>
    </row>
    <row r="65" spans="1:8" x14ac:dyDescent="0.3">
      <c r="A65" s="1"/>
      <c r="B65" s="1"/>
      <c r="C65" s="1" t="s">
        <v>59</v>
      </c>
      <c r="D65" s="2" t="s">
        <v>27</v>
      </c>
      <c r="E65" s="8">
        <v>3</v>
      </c>
      <c r="F65" s="1"/>
      <c r="G65" s="33"/>
      <c r="H65" s="9">
        <f t="shared" si="5"/>
        <v>0</v>
      </c>
    </row>
    <row r="66" spans="1:8" x14ac:dyDescent="0.3">
      <c r="A66" s="1"/>
      <c r="B66" s="1"/>
      <c r="C66" s="1" t="s">
        <v>60</v>
      </c>
      <c r="D66" s="2" t="s">
        <v>27</v>
      </c>
      <c r="E66" s="8">
        <v>1</v>
      </c>
      <c r="F66" s="1"/>
      <c r="G66" s="33"/>
      <c r="H66" s="9">
        <f t="shared" si="5"/>
        <v>0</v>
      </c>
    </row>
    <row r="67" spans="1:8" x14ac:dyDescent="0.3">
      <c r="A67" s="1"/>
      <c r="B67" s="1"/>
      <c r="C67" s="1" t="s">
        <v>61</v>
      </c>
      <c r="D67" s="2" t="s">
        <v>27</v>
      </c>
      <c r="E67" s="8">
        <v>1</v>
      </c>
      <c r="F67" s="1"/>
      <c r="G67" s="33"/>
      <c r="H67" s="9">
        <f t="shared" si="5"/>
        <v>0</v>
      </c>
    </row>
    <row r="68" spans="1:8" x14ac:dyDescent="0.3">
      <c r="A68" s="1"/>
      <c r="B68" s="1"/>
      <c r="C68" s="5" t="s">
        <v>62</v>
      </c>
      <c r="D68" s="2"/>
      <c r="E68" s="1"/>
      <c r="F68" s="1"/>
      <c r="G68" s="1"/>
      <c r="H68" s="11">
        <f>SUM(H63:H67)</f>
        <v>14320</v>
      </c>
    </row>
    <row r="69" spans="1:8" x14ac:dyDescent="0.3">
      <c r="A69" s="13"/>
      <c r="B69" s="13"/>
      <c r="C69" s="15" t="s">
        <v>63</v>
      </c>
      <c r="D69" s="28" t="s">
        <v>27</v>
      </c>
      <c r="E69" s="13">
        <v>12</v>
      </c>
      <c r="F69" s="13"/>
      <c r="G69" s="13"/>
      <c r="H69" s="12">
        <f>H68/E69</f>
        <v>1193.3333333333333</v>
      </c>
    </row>
    <row r="70" spans="1:8" x14ac:dyDescent="0.3">
      <c r="A70" s="13"/>
      <c r="B70" s="13"/>
      <c r="C70" s="15" t="s">
        <v>64</v>
      </c>
      <c r="D70" s="13"/>
      <c r="E70" s="13"/>
      <c r="F70" s="13"/>
      <c r="G70" s="13"/>
      <c r="H70" s="12">
        <f>H58+H69</f>
        <v>9251.5</v>
      </c>
    </row>
    <row r="71" spans="1:8" x14ac:dyDescent="0.3">
      <c r="A71" s="1"/>
      <c r="B71" s="1"/>
      <c r="C71" s="1"/>
      <c r="D71" s="1"/>
      <c r="E71" s="1"/>
      <c r="F71" s="1"/>
      <c r="G71" s="1"/>
      <c r="H71" s="1"/>
    </row>
    <row r="72" spans="1:8" x14ac:dyDescent="0.3">
      <c r="A72" s="5" t="s">
        <v>65</v>
      </c>
      <c r="B72" s="1"/>
      <c r="C72" s="1" t="s">
        <v>74</v>
      </c>
      <c r="D72" s="1"/>
      <c r="E72" s="1"/>
      <c r="F72" s="1"/>
      <c r="G72" s="1"/>
      <c r="H72" s="1"/>
    </row>
    <row r="73" spans="1:8" ht="28.8" x14ac:dyDescent="0.3">
      <c r="A73" s="3" t="s">
        <v>66</v>
      </c>
      <c r="B73" s="3"/>
      <c r="C73" s="3" t="s">
        <v>67</v>
      </c>
      <c r="D73" s="7" t="s">
        <v>75</v>
      </c>
      <c r="E73" s="16">
        <f>2*45*30</f>
        <v>2700</v>
      </c>
      <c r="F73" s="1"/>
      <c r="G73" s="1"/>
      <c r="H73" s="1"/>
    </row>
    <row r="74" spans="1:8" x14ac:dyDescent="0.3">
      <c r="A74" s="1"/>
      <c r="B74" s="1"/>
      <c r="C74" s="1" t="s">
        <v>69</v>
      </c>
      <c r="D74" s="1" t="s">
        <v>114</v>
      </c>
      <c r="E74" s="8">
        <v>3</v>
      </c>
      <c r="F74" s="1"/>
      <c r="G74" s="9">
        <v>5.97</v>
      </c>
      <c r="H74" s="9">
        <f>G74*E73/E74</f>
        <v>5373</v>
      </c>
    </row>
    <row r="75" spans="1:8" x14ac:dyDescent="0.3">
      <c r="A75" s="1"/>
      <c r="B75" s="1"/>
      <c r="C75" s="1" t="s">
        <v>70</v>
      </c>
      <c r="D75" s="1" t="s">
        <v>115</v>
      </c>
      <c r="E75" s="8">
        <v>1</v>
      </c>
      <c r="F75" s="1"/>
      <c r="G75" s="9">
        <v>30</v>
      </c>
      <c r="H75" s="9">
        <f>G75*E73/1/1000</f>
        <v>81</v>
      </c>
    </row>
    <row r="76" spans="1:8" x14ac:dyDescent="0.3">
      <c r="A76" s="1"/>
      <c r="B76" s="1"/>
      <c r="C76" s="1" t="s">
        <v>71</v>
      </c>
      <c r="D76" s="1" t="s">
        <v>115</v>
      </c>
      <c r="E76" s="8">
        <v>0.9</v>
      </c>
      <c r="F76" s="1"/>
      <c r="G76" s="19">
        <v>24.71</v>
      </c>
      <c r="H76" s="9">
        <f>G76*E73/0.9/1000</f>
        <v>74.13</v>
      </c>
    </row>
    <row r="77" spans="1:8" x14ac:dyDescent="0.3">
      <c r="A77" s="1"/>
      <c r="B77" s="1"/>
      <c r="C77" s="1" t="s">
        <v>72</v>
      </c>
      <c r="D77" s="1" t="s">
        <v>115</v>
      </c>
      <c r="E77" s="8">
        <v>1</v>
      </c>
      <c r="F77" s="1"/>
      <c r="G77" s="19">
        <v>40</v>
      </c>
      <c r="H77" s="9">
        <f>G77*E73/1/1000</f>
        <v>108</v>
      </c>
    </row>
    <row r="78" spans="1:8" x14ac:dyDescent="0.3">
      <c r="A78" s="1"/>
      <c r="B78" s="1"/>
      <c r="C78" s="1" t="s">
        <v>73</v>
      </c>
      <c r="D78" s="1" t="s">
        <v>115</v>
      </c>
      <c r="E78" s="8">
        <v>1</v>
      </c>
      <c r="F78" s="1"/>
      <c r="G78" s="9">
        <v>18.899999999999999</v>
      </c>
      <c r="H78" s="9">
        <f>G78*E73/1/1000</f>
        <v>51.029999999999994</v>
      </c>
    </row>
    <row r="79" spans="1:8" x14ac:dyDescent="0.3">
      <c r="A79" s="1"/>
      <c r="B79" s="1"/>
      <c r="C79" s="5" t="s">
        <v>117</v>
      </c>
      <c r="D79" s="5"/>
      <c r="E79" s="5">
        <v>3</v>
      </c>
      <c r="F79" s="5"/>
      <c r="G79" s="5"/>
      <c r="H79" s="11">
        <f t="shared" ref="H79" si="6">SUM(H74:H78)</f>
        <v>5687.16</v>
      </c>
    </row>
    <row r="80" spans="1:8" x14ac:dyDescent="0.3">
      <c r="A80" s="1"/>
      <c r="B80" s="1"/>
      <c r="C80" s="5" t="s">
        <v>116</v>
      </c>
      <c r="D80" s="5"/>
      <c r="E80" s="14">
        <f>E79*E73</f>
        <v>8100</v>
      </c>
      <c r="F80" s="14"/>
      <c r="G80" s="5"/>
      <c r="H80" s="11">
        <f>E79*H79</f>
        <v>17061.48</v>
      </c>
    </row>
    <row r="81" spans="1:8" x14ac:dyDescent="0.3">
      <c r="A81" s="1"/>
      <c r="B81" s="1"/>
      <c r="C81" s="1"/>
      <c r="D81" s="1"/>
      <c r="E81" s="1"/>
      <c r="F81" s="1"/>
      <c r="G81" s="1"/>
      <c r="H81" s="1"/>
    </row>
    <row r="82" spans="1:8" x14ac:dyDescent="0.3">
      <c r="A82" s="1" t="s">
        <v>119</v>
      </c>
      <c r="B82" s="1"/>
      <c r="C82" s="1" t="s">
        <v>47</v>
      </c>
      <c r="D82" s="1" t="s">
        <v>68</v>
      </c>
      <c r="E82" s="13">
        <f>2700/2</f>
        <v>1350</v>
      </c>
      <c r="F82" s="1"/>
      <c r="G82" s="1"/>
      <c r="H82" s="1"/>
    </row>
    <row r="83" spans="1:8" x14ac:dyDescent="0.3">
      <c r="A83" s="1"/>
      <c r="B83" s="1"/>
      <c r="C83" s="1" t="s">
        <v>76</v>
      </c>
      <c r="D83" s="1"/>
      <c r="E83" s="8">
        <v>10</v>
      </c>
      <c r="F83" s="9"/>
      <c r="G83" s="9">
        <v>5.29</v>
      </c>
      <c r="H83" s="9">
        <f>G83*E82/10</f>
        <v>714.15</v>
      </c>
    </row>
    <row r="84" spans="1:8" x14ac:dyDescent="0.3">
      <c r="A84" s="1"/>
      <c r="B84" s="1"/>
      <c r="C84" s="1" t="s">
        <v>77</v>
      </c>
      <c r="D84" s="1"/>
      <c r="E84" s="1">
        <v>1</v>
      </c>
      <c r="F84" s="1"/>
      <c r="G84" s="9">
        <f>H83</f>
        <v>714.15</v>
      </c>
      <c r="H84" s="11">
        <f>E84*G84</f>
        <v>714.15</v>
      </c>
    </row>
    <row r="85" spans="1:8" x14ac:dyDescent="0.3">
      <c r="A85" s="15"/>
      <c r="B85" s="15"/>
      <c r="C85" s="15" t="s">
        <v>78</v>
      </c>
      <c r="D85" s="15"/>
      <c r="E85" s="15"/>
      <c r="F85" s="15"/>
      <c r="G85" s="15"/>
      <c r="H85" s="12">
        <f>H80+H84</f>
        <v>17775.63</v>
      </c>
    </row>
    <row r="86" spans="1:8" x14ac:dyDescent="0.3">
      <c r="A86" s="1"/>
      <c r="B86" s="1"/>
      <c r="C86" s="1"/>
      <c r="D86" s="1"/>
      <c r="E86" s="1"/>
      <c r="F86" s="1"/>
      <c r="G86" s="1"/>
      <c r="H86" s="1"/>
    </row>
    <row r="87" spans="1:8" x14ac:dyDescent="0.3">
      <c r="A87" s="15" t="s">
        <v>79</v>
      </c>
      <c r="B87" s="15"/>
      <c r="C87" s="15" t="s">
        <v>80</v>
      </c>
      <c r="D87" s="15"/>
      <c r="E87" s="15"/>
      <c r="F87" s="15"/>
      <c r="G87" s="15"/>
      <c r="H87" s="15"/>
    </row>
    <row r="88" spans="1:8" x14ac:dyDescent="0.3">
      <c r="A88" s="1" t="s">
        <v>81</v>
      </c>
      <c r="B88" s="1"/>
      <c r="C88" s="1" t="s">
        <v>67</v>
      </c>
      <c r="D88" s="1"/>
      <c r="E88" s="1"/>
      <c r="F88" s="1"/>
      <c r="G88" s="1"/>
      <c r="H88" s="1"/>
    </row>
    <row r="89" spans="1:8" x14ac:dyDescent="0.3">
      <c r="A89" s="1"/>
      <c r="B89" s="1"/>
      <c r="C89" s="1" t="s">
        <v>82</v>
      </c>
      <c r="D89" s="1" t="s">
        <v>27</v>
      </c>
      <c r="E89" s="1">
        <v>6</v>
      </c>
      <c r="F89" s="1"/>
      <c r="G89" s="9">
        <v>1846</v>
      </c>
      <c r="H89" s="9">
        <f>E89*G89</f>
        <v>11076</v>
      </c>
    </row>
    <row r="90" spans="1:8" x14ac:dyDescent="0.3">
      <c r="A90" s="1"/>
      <c r="B90" s="1"/>
      <c r="C90" s="1" t="s">
        <v>83</v>
      </c>
      <c r="D90" s="1" t="s">
        <v>84</v>
      </c>
      <c r="E90" s="1">
        <v>30000</v>
      </c>
      <c r="F90" s="1"/>
      <c r="G90" s="9">
        <f>H89</f>
        <v>11076</v>
      </c>
      <c r="H90" s="9">
        <f>G90/E90</f>
        <v>0.36919999999999997</v>
      </c>
    </row>
    <row r="91" spans="1:8" x14ac:dyDescent="0.3">
      <c r="A91" s="15"/>
      <c r="B91" s="15"/>
      <c r="C91" s="15" t="s">
        <v>85</v>
      </c>
      <c r="D91" s="15" t="s">
        <v>86</v>
      </c>
      <c r="E91" s="15">
        <v>8100</v>
      </c>
      <c r="F91" s="16"/>
      <c r="G91" s="12">
        <f>H90</f>
        <v>0.36919999999999997</v>
      </c>
      <c r="H91" s="12">
        <f>E91*G91</f>
        <v>2990.52</v>
      </c>
    </row>
    <row r="92" spans="1:8" x14ac:dyDescent="0.3">
      <c r="A92" s="1"/>
      <c r="B92" s="1"/>
      <c r="C92" s="1"/>
      <c r="D92" s="1"/>
      <c r="E92" s="1"/>
      <c r="F92" s="1"/>
      <c r="G92" s="1"/>
      <c r="H92" s="1"/>
    </row>
    <row r="93" spans="1:8" x14ac:dyDescent="0.3">
      <c r="A93" s="1" t="s">
        <v>87</v>
      </c>
      <c r="B93" s="1"/>
      <c r="C93" s="1" t="s">
        <v>88</v>
      </c>
      <c r="D93" s="1"/>
      <c r="E93" s="1"/>
      <c r="F93" s="1"/>
      <c r="G93" s="1"/>
      <c r="H93" s="1"/>
    </row>
    <row r="94" spans="1:8" x14ac:dyDescent="0.3">
      <c r="A94" s="1"/>
      <c r="B94" s="1"/>
      <c r="C94" s="1" t="s">
        <v>82</v>
      </c>
      <c r="D94" s="1" t="s">
        <v>27</v>
      </c>
      <c r="E94" s="1">
        <v>4</v>
      </c>
      <c r="F94" s="1"/>
      <c r="G94" s="9">
        <v>340</v>
      </c>
      <c r="H94" s="9">
        <f>E94*G94</f>
        <v>1360</v>
      </c>
    </row>
    <row r="95" spans="1:8" x14ac:dyDescent="0.3">
      <c r="A95" s="1"/>
      <c r="B95" s="1"/>
      <c r="C95" s="1" t="s">
        <v>83</v>
      </c>
      <c r="D95" s="1" t="s">
        <v>84</v>
      </c>
      <c r="E95" s="1">
        <v>30000</v>
      </c>
      <c r="F95" s="1"/>
      <c r="G95" s="9">
        <f>H94</f>
        <v>1360</v>
      </c>
      <c r="H95" s="9">
        <f>G95/E95</f>
        <v>4.5333333333333337E-2</v>
      </c>
    </row>
    <row r="96" spans="1:8" x14ac:dyDescent="0.3">
      <c r="A96" s="15"/>
      <c r="B96" s="15"/>
      <c r="C96" s="15" t="s">
        <v>85</v>
      </c>
      <c r="D96" s="15" t="s">
        <v>86</v>
      </c>
      <c r="E96" s="13">
        <v>520</v>
      </c>
      <c r="F96" s="15"/>
      <c r="G96" s="12">
        <f>H95</f>
        <v>4.5333333333333337E-2</v>
      </c>
      <c r="H96" s="12">
        <f>E96*G96</f>
        <v>23.573333333333334</v>
      </c>
    </row>
    <row r="97" spans="1:12" x14ac:dyDescent="0.3">
      <c r="A97" s="15"/>
      <c r="B97" s="15"/>
      <c r="C97" s="15" t="s">
        <v>89</v>
      </c>
      <c r="D97" s="15"/>
      <c r="E97" s="15"/>
      <c r="F97" s="15"/>
      <c r="G97" s="15"/>
      <c r="H97" s="12">
        <f>H91+H96</f>
        <v>3014.0933333333332</v>
      </c>
    </row>
    <row r="98" spans="1:12" x14ac:dyDescent="0.3">
      <c r="A98" s="15" t="s">
        <v>90</v>
      </c>
      <c r="B98" s="15"/>
      <c r="C98" s="15" t="s">
        <v>118</v>
      </c>
      <c r="D98" s="15"/>
      <c r="E98" s="15"/>
      <c r="F98" s="15"/>
      <c r="G98" s="15"/>
      <c r="H98" s="12">
        <f>H99+H100</f>
        <v>105585.52583333333</v>
      </c>
    </row>
    <row r="99" spans="1:12" x14ac:dyDescent="0.3">
      <c r="A99" s="1"/>
      <c r="B99" s="1"/>
      <c r="C99" s="1" t="s">
        <v>92</v>
      </c>
      <c r="D99" s="1"/>
      <c r="E99" s="1"/>
      <c r="F99" s="1"/>
      <c r="G99" s="1"/>
      <c r="H99" s="9">
        <f>H24</f>
        <v>64350.439999999995</v>
      </c>
    </row>
    <row r="100" spans="1:12" x14ac:dyDescent="0.3">
      <c r="A100" s="1"/>
      <c r="B100" s="1"/>
      <c r="C100" s="1" t="s">
        <v>93</v>
      </c>
      <c r="D100" s="1"/>
      <c r="E100" s="1"/>
      <c r="F100" s="1"/>
      <c r="G100" s="1"/>
      <c r="H100" s="9">
        <f>H44+H70+H85+H97</f>
        <v>41235.085833333338</v>
      </c>
    </row>
    <row r="101" spans="1:12" x14ac:dyDescent="0.3">
      <c r="A101" s="15" t="s">
        <v>91</v>
      </c>
      <c r="B101" s="13"/>
      <c r="C101" s="15" t="s">
        <v>95</v>
      </c>
      <c r="D101" s="15" t="s">
        <v>11</v>
      </c>
      <c r="E101" s="34">
        <v>3.7999999999999999E-2</v>
      </c>
      <c r="F101" s="12">
        <f>H98</f>
        <v>105585.52583333333</v>
      </c>
      <c r="G101" s="15"/>
      <c r="H101" s="12">
        <f>E101*F101</f>
        <v>4012.2499816666664</v>
      </c>
    </row>
    <row r="102" spans="1:12" x14ac:dyDescent="0.3">
      <c r="A102" s="15" t="s">
        <v>94</v>
      </c>
      <c r="B102" s="15"/>
      <c r="C102" s="15" t="s">
        <v>97</v>
      </c>
      <c r="D102" s="15"/>
      <c r="E102" s="15"/>
      <c r="F102" s="15"/>
      <c r="G102" s="15"/>
      <c r="H102" s="12">
        <f>H98+H101</f>
        <v>109597.775815</v>
      </c>
    </row>
    <row r="103" spans="1:12" x14ac:dyDescent="0.3">
      <c r="A103" s="15" t="s">
        <v>96</v>
      </c>
      <c r="B103" s="15"/>
      <c r="C103" s="15" t="s">
        <v>121</v>
      </c>
      <c r="D103" s="15" t="s">
        <v>11</v>
      </c>
      <c r="E103" s="23">
        <v>0.12</v>
      </c>
      <c r="F103" s="12">
        <f>H102</f>
        <v>109597.775815</v>
      </c>
      <c r="G103" s="15"/>
      <c r="H103" s="12">
        <f>E103*F103</f>
        <v>13151.733097799999</v>
      </c>
    </row>
    <row r="104" spans="1:12" ht="15.6" x14ac:dyDescent="0.3">
      <c r="A104" s="24" t="s">
        <v>98</v>
      </c>
      <c r="B104" s="24"/>
      <c r="C104" s="24" t="s">
        <v>100</v>
      </c>
      <c r="D104" s="24"/>
      <c r="E104" s="24"/>
      <c r="F104" s="24"/>
      <c r="G104" s="24"/>
      <c r="H104" s="25">
        <f>H102+H103</f>
        <v>122749.5089128</v>
      </c>
      <c r="K104" t="s">
        <v>102</v>
      </c>
    </row>
    <row r="105" spans="1:12" x14ac:dyDescent="0.3">
      <c r="A105" s="1" t="s">
        <v>99</v>
      </c>
      <c r="B105" s="1"/>
      <c r="C105" s="1" t="s">
        <v>101</v>
      </c>
      <c r="D105" s="1"/>
      <c r="E105" s="1"/>
      <c r="F105" s="1"/>
      <c r="G105" s="1"/>
      <c r="H105" s="1"/>
      <c r="K105">
        <f>15*30</f>
        <v>450</v>
      </c>
      <c r="L105" t="s">
        <v>120</v>
      </c>
    </row>
    <row r="106" spans="1:12" x14ac:dyDescent="0.3">
      <c r="A106" s="1" t="s">
        <v>122</v>
      </c>
      <c r="B106" s="1"/>
      <c r="C106" s="1" t="s">
        <v>123</v>
      </c>
      <c r="D106" s="1" t="s">
        <v>11</v>
      </c>
      <c r="E106" s="26">
        <v>7.1199999999999999E-2</v>
      </c>
      <c r="F106" s="9"/>
      <c r="G106" s="9">
        <f>H99</f>
        <v>64350.439999999995</v>
      </c>
      <c r="H106" s="9">
        <f>G106*E106</f>
        <v>4581.7513279999994</v>
      </c>
    </row>
    <row r="107" spans="1:12" x14ac:dyDescent="0.3">
      <c r="A107" s="1"/>
      <c r="B107" s="1"/>
      <c r="C107" s="1"/>
      <c r="D107" s="1"/>
      <c r="E107" s="26"/>
      <c r="F107" s="1"/>
      <c r="G107" s="1"/>
      <c r="H107" s="9">
        <f>G107*E107</f>
        <v>0</v>
      </c>
    </row>
    <row r="108" spans="1:12" x14ac:dyDescent="0.3">
      <c r="A108" s="1"/>
      <c r="B108" s="1"/>
      <c r="C108" s="1"/>
      <c r="D108" s="1"/>
      <c r="E108" s="26"/>
      <c r="F108" s="1"/>
      <c r="G108" s="1"/>
      <c r="H108" s="9">
        <f>G108*E108</f>
        <v>0</v>
      </c>
    </row>
    <row r="109" spans="1:12" x14ac:dyDescent="0.3">
      <c r="A109" s="1"/>
      <c r="B109" s="1"/>
      <c r="C109" s="5" t="s">
        <v>5</v>
      </c>
      <c r="D109" s="1"/>
      <c r="E109" s="1"/>
      <c r="F109" s="1"/>
      <c r="G109" s="1"/>
      <c r="H109" s="11">
        <f>H104+H106+H107+H108</f>
        <v>127331.26024079999</v>
      </c>
    </row>
  </sheetData>
  <mergeCells count="4">
    <mergeCell ref="A3:H3"/>
    <mergeCell ref="A1:H1"/>
    <mergeCell ref="A2:H2"/>
    <mergeCell ref="A24:G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071E0-C163-4DD6-8E76-E885EAFEFF51}">
  <sheetPr>
    <tabColor rgb="FFFFFF00"/>
  </sheetPr>
  <dimension ref="A4:G157"/>
  <sheetViews>
    <sheetView tabSelected="1" topLeftCell="A141" zoomScale="90" zoomScaleNormal="90" zoomScaleSheetLayoutView="100" workbookViewId="0">
      <selection activeCell="G157" sqref="G157"/>
    </sheetView>
  </sheetViews>
  <sheetFormatPr defaultRowHeight="14.4" x14ac:dyDescent="0.3"/>
  <cols>
    <col min="2" max="2" width="49" customWidth="1"/>
    <col min="3" max="3" width="14" customWidth="1"/>
    <col min="4" max="4" width="10" customWidth="1"/>
    <col min="5" max="5" width="10.44140625" customWidth="1"/>
    <col min="6" max="6" width="17.33203125" customWidth="1"/>
    <col min="7" max="7" width="18.77734375" customWidth="1"/>
  </cols>
  <sheetData>
    <row r="4" spans="1:7" x14ac:dyDescent="0.3">
      <c r="A4" s="51"/>
      <c r="B4" s="51"/>
      <c r="C4" s="51"/>
      <c r="D4" s="51"/>
      <c r="E4" s="51"/>
      <c r="F4" s="51"/>
      <c r="G4" s="51"/>
    </row>
    <row r="5" spans="1:7" ht="19.2" customHeight="1" x14ac:dyDescent="0.3">
      <c r="A5" s="51"/>
      <c r="B5" s="51"/>
      <c r="C5" s="51"/>
      <c r="D5" s="51"/>
      <c r="E5" s="51"/>
      <c r="F5" s="51"/>
      <c r="G5" s="51"/>
    </row>
    <row r="6" spans="1:7" ht="23.4" customHeight="1" x14ac:dyDescent="0.3">
      <c r="A6" s="56" t="s">
        <v>143</v>
      </c>
      <c r="B6" s="56"/>
      <c r="C6" s="56"/>
      <c r="D6" s="56"/>
      <c r="E6" s="56"/>
      <c r="F6" s="56"/>
      <c r="G6" s="56"/>
    </row>
    <row r="7" spans="1:7" ht="20.25" customHeight="1" x14ac:dyDescent="0.3">
      <c r="A7" s="54" t="s">
        <v>144</v>
      </c>
      <c r="B7" s="54"/>
      <c r="C7" s="54"/>
      <c r="D7" s="54"/>
      <c r="E7" s="54"/>
      <c r="F7" s="54"/>
      <c r="G7" s="54"/>
    </row>
    <row r="8" spans="1:7" x14ac:dyDescent="0.3">
      <c r="A8" s="4">
        <v>1</v>
      </c>
      <c r="B8" s="58"/>
      <c r="C8" s="58"/>
      <c r="D8" s="58"/>
      <c r="E8" s="58"/>
      <c r="F8" s="58"/>
      <c r="G8" s="59"/>
    </row>
    <row r="9" spans="1:7" x14ac:dyDescent="0.3">
      <c r="A9" s="5" t="s">
        <v>7</v>
      </c>
      <c r="B9" s="10" t="s">
        <v>152</v>
      </c>
      <c r="C9" s="63" t="s">
        <v>153</v>
      </c>
      <c r="D9" s="64"/>
      <c r="E9" s="64"/>
      <c r="F9" s="64"/>
      <c r="G9" s="65"/>
    </row>
    <row r="10" spans="1:7" x14ac:dyDescent="0.3">
      <c r="A10" s="5"/>
      <c r="B10" s="66" t="s">
        <v>154</v>
      </c>
      <c r="C10" s="60" t="s">
        <v>155</v>
      </c>
      <c r="D10" s="62"/>
      <c r="E10" s="60" t="s">
        <v>156</v>
      </c>
      <c r="F10" s="62"/>
      <c r="G10" s="2" t="s">
        <v>157</v>
      </c>
    </row>
    <row r="11" spans="1:7" x14ac:dyDescent="0.3">
      <c r="A11" s="1"/>
      <c r="B11" s="1" t="s">
        <v>173</v>
      </c>
      <c r="C11" s="60"/>
      <c r="D11" s="62"/>
      <c r="E11" s="67"/>
      <c r="F11" s="68"/>
      <c r="G11" s="9">
        <v>1612.42</v>
      </c>
    </row>
    <row r="12" spans="1:7" x14ac:dyDescent="0.3">
      <c r="A12" s="1"/>
      <c r="B12" s="1" t="s">
        <v>158</v>
      </c>
      <c r="C12" s="60"/>
      <c r="D12" s="62"/>
      <c r="E12" s="69"/>
      <c r="F12" s="70"/>
      <c r="G12" s="9">
        <v>484.8</v>
      </c>
    </row>
    <row r="13" spans="1:7" x14ac:dyDescent="0.3">
      <c r="A13" s="1"/>
      <c r="B13" s="1" t="s">
        <v>159</v>
      </c>
      <c r="C13" s="60"/>
      <c r="D13" s="62"/>
      <c r="E13" s="69"/>
      <c r="F13" s="70"/>
      <c r="G13" s="9">
        <f>SUM(G11:G12)</f>
        <v>2097.2200000000003</v>
      </c>
    </row>
    <row r="14" spans="1:7" x14ac:dyDescent="0.3">
      <c r="A14" s="1"/>
      <c r="B14" s="1" t="s">
        <v>160</v>
      </c>
      <c r="C14" s="71">
        <v>8.3299999999999999E-2</v>
      </c>
      <c r="D14" s="78"/>
      <c r="E14" s="69">
        <v>174.7</v>
      </c>
      <c r="F14" s="70"/>
      <c r="G14" s="9"/>
    </row>
    <row r="15" spans="1:7" x14ac:dyDescent="0.3">
      <c r="A15" s="1"/>
      <c r="B15" s="1" t="s">
        <v>161</v>
      </c>
      <c r="C15" s="71">
        <v>0.1111</v>
      </c>
      <c r="D15" s="78"/>
      <c r="E15" s="69">
        <v>233</v>
      </c>
      <c r="F15" s="70"/>
      <c r="G15" s="9"/>
    </row>
    <row r="16" spans="1:7" x14ac:dyDescent="0.3">
      <c r="A16" s="1"/>
      <c r="B16" s="1" t="s">
        <v>162</v>
      </c>
      <c r="C16" s="72">
        <v>0.08</v>
      </c>
      <c r="D16" s="81"/>
      <c r="E16" s="69">
        <v>167.78</v>
      </c>
      <c r="F16" s="70"/>
      <c r="G16" s="9"/>
    </row>
    <row r="17" spans="1:7" x14ac:dyDescent="0.3">
      <c r="A17" s="1"/>
      <c r="B17" s="1" t="s">
        <v>163</v>
      </c>
      <c r="C17" s="71">
        <v>1.55E-2</v>
      </c>
      <c r="D17" s="78"/>
      <c r="E17" s="69">
        <v>32.51</v>
      </c>
      <c r="F17" s="70"/>
      <c r="G17" s="9"/>
    </row>
    <row r="18" spans="1:7" x14ac:dyDescent="0.3">
      <c r="A18" s="1"/>
      <c r="B18" s="1" t="s">
        <v>164</v>
      </c>
      <c r="C18" s="72">
        <v>0.2</v>
      </c>
      <c r="D18" s="81"/>
      <c r="E18" s="69">
        <v>419.44</v>
      </c>
      <c r="F18" s="70"/>
      <c r="G18" s="9"/>
    </row>
    <row r="19" spans="1:7" x14ac:dyDescent="0.3">
      <c r="A19" s="1"/>
      <c r="B19" s="1" t="s">
        <v>165</v>
      </c>
      <c r="C19" s="71">
        <v>7.9299999999999995E-2</v>
      </c>
      <c r="D19" s="78"/>
      <c r="E19" s="69">
        <v>166.31</v>
      </c>
      <c r="F19" s="70"/>
      <c r="G19" s="9"/>
    </row>
    <row r="20" spans="1:7" x14ac:dyDescent="0.3">
      <c r="A20" s="1"/>
      <c r="B20" s="1" t="s">
        <v>166</v>
      </c>
      <c r="C20" s="72">
        <v>0.03</v>
      </c>
      <c r="D20" s="81"/>
      <c r="E20" s="69">
        <v>62.92</v>
      </c>
      <c r="F20" s="70"/>
      <c r="G20" s="9"/>
    </row>
    <row r="21" spans="1:7" x14ac:dyDescent="0.3">
      <c r="A21" s="1"/>
      <c r="B21" s="1" t="s">
        <v>167</v>
      </c>
      <c r="C21" s="71">
        <v>5.8000000000000003E-2</v>
      </c>
      <c r="D21" s="78"/>
      <c r="E21" s="69">
        <v>121.64</v>
      </c>
      <c r="F21" s="70"/>
      <c r="G21" s="9"/>
    </row>
    <row r="22" spans="1:7" x14ac:dyDescent="0.3">
      <c r="A22" s="1"/>
      <c r="B22" s="1" t="s">
        <v>168</v>
      </c>
      <c r="C22" s="72">
        <v>0.04</v>
      </c>
      <c r="D22" s="81"/>
      <c r="E22" s="69">
        <v>83.89</v>
      </c>
      <c r="F22" s="70"/>
      <c r="G22" s="9"/>
    </row>
    <row r="23" spans="1:7" x14ac:dyDescent="0.3">
      <c r="A23" s="1"/>
      <c r="B23" s="1" t="s">
        <v>169</v>
      </c>
      <c r="C23" s="71">
        <f>SUM(C14:D22)</f>
        <v>0.69720000000000015</v>
      </c>
      <c r="D23" s="78"/>
      <c r="E23" s="60"/>
      <c r="F23" s="62"/>
      <c r="G23" s="9">
        <f>SUM(E14:F22)</f>
        <v>1462.1900000000003</v>
      </c>
    </row>
    <row r="24" spans="1:7" x14ac:dyDescent="0.3">
      <c r="A24" s="1"/>
      <c r="B24" s="57" t="s">
        <v>170</v>
      </c>
      <c r="C24" s="58"/>
      <c r="D24" s="58"/>
      <c r="E24" s="58"/>
      <c r="F24" s="59"/>
      <c r="G24" s="11">
        <f>SUM(G13+G23)</f>
        <v>3559.4100000000008</v>
      </c>
    </row>
    <row r="25" spans="1:7" x14ac:dyDescent="0.3">
      <c r="A25" s="5"/>
      <c r="B25" s="5" t="s">
        <v>13</v>
      </c>
      <c r="C25" s="4" t="s">
        <v>14</v>
      </c>
      <c r="D25" s="14">
        <v>9</v>
      </c>
      <c r="E25" s="14"/>
      <c r="F25" s="11">
        <v>3559.41</v>
      </c>
      <c r="G25" s="12">
        <f t="shared" ref="G25" si="0">D25*F25</f>
        <v>32034.69</v>
      </c>
    </row>
    <row r="26" spans="1:7" x14ac:dyDescent="0.3">
      <c r="A26" s="60"/>
      <c r="B26" s="61"/>
      <c r="C26" s="61"/>
      <c r="D26" s="61"/>
      <c r="E26" s="61"/>
      <c r="F26" s="61"/>
      <c r="G26" s="62"/>
    </row>
    <row r="27" spans="1:7" x14ac:dyDescent="0.3">
      <c r="A27" s="5" t="s">
        <v>15</v>
      </c>
      <c r="B27" s="5" t="s">
        <v>152</v>
      </c>
      <c r="C27" s="63" t="s">
        <v>171</v>
      </c>
      <c r="D27" s="64"/>
      <c r="E27" s="64"/>
      <c r="F27" s="64"/>
      <c r="G27" s="65"/>
    </row>
    <row r="28" spans="1:7" x14ac:dyDescent="0.3">
      <c r="A28" s="5"/>
      <c r="B28" s="66" t="s">
        <v>154</v>
      </c>
      <c r="C28" s="73" t="s">
        <v>155</v>
      </c>
      <c r="D28" s="74"/>
      <c r="E28" s="73" t="s">
        <v>156</v>
      </c>
      <c r="F28" s="74"/>
      <c r="G28" s="75" t="s">
        <v>172</v>
      </c>
    </row>
    <row r="29" spans="1:7" x14ac:dyDescent="0.3">
      <c r="A29" s="5"/>
      <c r="B29" s="1" t="s">
        <v>174</v>
      </c>
      <c r="C29" s="57"/>
      <c r="D29" s="59"/>
      <c r="E29" s="57"/>
      <c r="F29" s="59"/>
      <c r="G29" s="79">
        <v>2357.6</v>
      </c>
    </row>
    <row r="30" spans="1:7" x14ac:dyDescent="0.3">
      <c r="A30" s="5"/>
      <c r="B30" s="1" t="s">
        <v>158</v>
      </c>
      <c r="C30" s="57"/>
      <c r="D30" s="59"/>
      <c r="E30" s="57"/>
      <c r="F30" s="59"/>
      <c r="G30" s="79">
        <v>484.8</v>
      </c>
    </row>
    <row r="31" spans="1:7" x14ac:dyDescent="0.3">
      <c r="A31" s="5"/>
      <c r="B31" s="1" t="s">
        <v>159</v>
      </c>
      <c r="C31" s="57"/>
      <c r="D31" s="59"/>
      <c r="E31" s="57"/>
      <c r="F31" s="59"/>
      <c r="G31" s="79">
        <f>SUM(G29:G30)</f>
        <v>2842.4</v>
      </c>
    </row>
    <row r="32" spans="1:7" x14ac:dyDescent="0.3">
      <c r="A32" s="5"/>
      <c r="B32" s="1" t="s">
        <v>160</v>
      </c>
      <c r="C32" s="76">
        <v>8.3299999999999999E-2</v>
      </c>
      <c r="D32" s="10"/>
      <c r="E32" s="82">
        <v>236.77</v>
      </c>
      <c r="F32" s="83"/>
      <c r="G32" s="10"/>
    </row>
    <row r="33" spans="1:7" x14ac:dyDescent="0.3">
      <c r="A33" s="5"/>
      <c r="B33" s="1" t="s">
        <v>161</v>
      </c>
      <c r="C33" s="76">
        <v>0.1111</v>
      </c>
      <c r="D33" s="10"/>
      <c r="E33" s="82">
        <v>315.79000000000002</v>
      </c>
      <c r="F33" s="83"/>
      <c r="G33" s="10"/>
    </row>
    <row r="34" spans="1:7" x14ac:dyDescent="0.3">
      <c r="A34" s="5"/>
      <c r="B34" s="1" t="s">
        <v>162</v>
      </c>
      <c r="C34" s="77">
        <v>0.08</v>
      </c>
      <c r="D34" s="10"/>
      <c r="E34" s="82">
        <v>227.39</v>
      </c>
      <c r="F34" s="83"/>
      <c r="G34" s="10"/>
    </row>
    <row r="35" spans="1:7" x14ac:dyDescent="0.3">
      <c r="A35" s="5"/>
      <c r="B35" s="1" t="s">
        <v>163</v>
      </c>
      <c r="C35" s="76">
        <v>1.55E-2</v>
      </c>
      <c r="D35" s="10"/>
      <c r="E35" s="82">
        <v>44.06</v>
      </c>
      <c r="F35" s="83"/>
      <c r="G35" s="10"/>
    </row>
    <row r="36" spans="1:7" x14ac:dyDescent="0.3">
      <c r="A36" s="5"/>
      <c r="B36" s="1" t="s">
        <v>164</v>
      </c>
      <c r="C36" s="77">
        <v>0.2</v>
      </c>
      <c r="D36" s="10"/>
      <c r="E36" s="82">
        <v>568.48</v>
      </c>
      <c r="F36" s="83"/>
      <c r="G36" s="10"/>
    </row>
    <row r="37" spans="1:7" x14ac:dyDescent="0.3">
      <c r="A37" s="1"/>
      <c r="B37" s="1" t="s">
        <v>165</v>
      </c>
      <c r="C37" s="76">
        <v>7.9299999999999995E-2</v>
      </c>
      <c r="D37" s="8"/>
      <c r="E37" s="67">
        <v>225.4</v>
      </c>
      <c r="F37" s="68"/>
      <c r="G37" s="9"/>
    </row>
    <row r="38" spans="1:7" x14ac:dyDescent="0.3">
      <c r="A38" s="1"/>
      <c r="B38" s="1" t="s">
        <v>166</v>
      </c>
      <c r="C38" s="77">
        <v>0.03</v>
      </c>
      <c r="D38" s="8"/>
      <c r="E38" s="67">
        <v>85.27</v>
      </c>
      <c r="F38" s="68"/>
      <c r="G38" s="9"/>
    </row>
    <row r="39" spans="1:7" x14ac:dyDescent="0.3">
      <c r="A39" s="1"/>
      <c r="B39" s="1" t="s">
        <v>167</v>
      </c>
      <c r="C39" s="76">
        <v>5.8000000000000003E-2</v>
      </c>
      <c r="D39" s="8"/>
      <c r="E39" s="67">
        <v>164.86</v>
      </c>
      <c r="F39" s="68"/>
      <c r="G39" s="9"/>
    </row>
    <row r="40" spans="1:7" x14ac:dyDescent="0.3">
      <c r="A40" s="1"/>
      <c r="B40" s="1" t="s">
        <v>168</v>
      </c>
      <c r="C40" s="77">
        <v>0.04</v>
      </c>
      <c r="D40" s="1"/>
      <c r="E40" s="67">
        <v>113.7</v>
      </c>
      <c r="F40" s="68"/>
      <c r="G40" s="9"/>
    </row>
    <row r="41" spans="1:7" x14ac:dyDescent="0.3">
      <c r="A41" s="1"/>
      <c r="B41" s="1" t="s">
        <v>169</v>
      </c>
      <c r="C41" s="26">
        <f>SUM(C32:C40)</f>
        <v>0.69720000000000015</v>
      </c>
      <c r="D41" s="1"/>
      <c r="E41" s="60"/>
      <c r="F41" s="62"/>
      <c r="G41" s="9">
        <f>SUM(E32:E40)</f>
        <v>1981.72</v>
      </c>
    </row>
    <row r="42" spans="1:7" x14ac:dyDescent="0.3">
      <c r="A42" s="1"/>
      <c r="B42" s="57" t="s">
        <v>170</v>
      </c>
      <c r="C42" s="58"/>
      <c r="D42" s="58"/>
      <c r="E42" s="58"/>
      <c r="F42" s="59"/>
      <c r="G42" s="11">
        <f>SUM(G31+G41)</f>
        <v>4824.12</v>
      </c>
    </row>
    <row r="43" spans="1:7" x14ac:dyDescent="0.3">
      <c r="A43" s="1"/>
      <c r="B43" s="5" t="s">
        <v>13</v>
      </c>
      <c r="C43" s="4" t="s">
        <v>14</v>
      </c>
      <c r="D43" s="14">
        <v>3</v>
      </c>
      <c r="E43" s="8"/>
      <c r="F43" s="11">
        <v>4824.12</v>
      </c>
      <c r="G43" s="12">
        <f t="shared" ref="G43" si="1">D43*F43</f>
        <v>14472.36</v>
      </c>
    </row>
    <row r="44" spans="1:7" x14ac:dyDescent="0.3">
      <c r="A44" s="60"/>
      <c r="B44" s="61"/>
      <c r="C44" s="61"/>
      <c r="D44" s="61"/>
      <c r="E44" s="61"/>
      <c r="F44" s="61"/>
      <c r="G44" s="62"/>
    </row>
    <row r="45" spans="1:7" x14ac:dyDescent="0.3">
      <c r="A45" s="5" t="s">
        <v>19</v>
      </c>
      <c r="B45" s="5" t="s">
        <v>152</v>
      </c>
      <c r="C45" s="63" t="s">
        <v>175</v>
      </c>
      <c r="D45" s="64"/>
      <c r="E45" s="64"/>
      <c r="F45" s="64"/>
      <c r="G45" s="65"/>
    </row>
    <row r="46" spans="1:7" x14ac:dyDescent="0.3">
      <c r="A46" s="5"/>
      <c r="B46" s="66" t="s">
        <v>154</v>
      </c>
      <c r="C46" s="73" t="s">
        <v>155</v>
      </c>
      <c r="D46" s="74"/>
      <c r="E46" s="73" t="s">
        <v>156</v>
      </c>
      <c r="F46" s="74"/>
      <c r="G46" s="75" t="s">
        <v>172</v>
      </c>
    </row>
    <row r="47" spans="1:7" x14ac:dyDescent="0.3">
      <c r="A47" s="5"/>
      <c r="B47" s="1" t="s">
        <v>173</v>
      </c>
      <c r="C47" s="57"/>
      <c r="D47" s="59"/>
      <c r="E47" s="57"/>
      <c r="F47" s="59"/>
      <c r="G47" s="79">
        <v>3285.21</v>
      </c>
    </row>
    <row r="48" spans="1:7" x14ac:dyDescent="0.3">
      <c r="A48" s="5"/>
      <c r="B48" s="1" t="s">
        <v>158</v>
      </c>
      <c r="C48" s="57"/>
      <c r="D48" s="59"/>
      <c r="E48" s="57"/>
      <c r="F48" s="59"/>
      <c r="G48" s="79">
        <v>484.8</v>
      </c>
    </row>
    <row r="49" spans="1:7" x14ac:dyDescent="0.3">
      <c r="A49" s="5"/>
      <c r="B49" s="1" t="s">
        <v>159</v>
      </c>
      <c r="C49" s="57"/>
      <c r="D49" s="59"/>
      <c r="E49" s="57"/>
      <c r="F49" s="59"/>
      <c r="G49" s="79">
        <v>3770.01</v>
      </c>
    </row>
    <row r="50" spans="1:7" x14ac:dyDescent="0.3">
      <c r="A50" s="5"/>
      <c r="B50" s="1" t="s">
        <v>160</v>
      </c>
      <c r="C50" s="71">
        <v>8.3299999999999999E-2</v>
      </c>
      <c r="D50" s="78"/>
      <c r="E50" s="82">
        <v>314.04000000000002</v>
      </c>
      <c r="F50" s="83"/>
      <c r="G50" s="79"/>
    </row>
    <row r="51" spans="1:7" x14ac:dyDescent="0.3">
      <c r="A51" s="5"/>
      <c r="B51" s="1" t="s">
        <v>161</v>
      </c>
      <c r="C51" s="71">
        <v>0.1111</v>
      </c>
      <c r="D51" s="78"/>
      <c r="E51" s="82">
        <v>418.85</v>
      </c>
      <c r="F51" s="83"/>
      <c r="G51" s="79"/>
    </row>
    <row r="52" spans="1:7" x14ac:dyDescent="0.3">
      <c r="A52" s="5"/>
      <c r="B52" s="1" t="s">
        <v>162</v>
      </c>
      <c r="C52" s="72">
        <v>0.08</v>
      </c>
      <c r="D52" s="81"/>
      <c r="E52" s="82">
        <v>301.60000000000002</v>
      </c>
      <c r="F52" s="83"/>
      <c r="G52" s="79"/>
    </row>
    <row r="53" spans="1:7" x14ac:dyDescent="0.3">
      <c r="A53" s="5"/>
      <c r="B53" s="1" t="s">
        <v>163</v>
      </c>
      <c r="C53" s="71">
        <v>1.55E-2</v>
      </c>
      <c r="D53" s="78"/>
      <c r="E53" s="82">
        <v>58.44</v>
      </c>
      <c r="F53" s="83"/>
      <c r="G53" s="79"/>
    </row>
    <row r="54" spans="1:7" x14ac:dyDescent="0.3">
      <c r="A54" s="1"/>
      <c r="B54" s="1" t="s">
        <v>164</v>
      </c>
      <c r="C54" s="72">
        <v>0.2</v>
      </c>
      <c r="D54" s="81"/>
      <c r="E54" s="82">
        <v>754</v>
      </c>
      <c r="F54" s="83"/>
      <c r="G54" s="80"/>
    </row>
    <row r="55" spans="1:7" x14ac:dyDescent="0.3">
      <c r="A55" s="1"/>
      <c r="B55" s="1" t="s">
        <v>165</v>
      </c>
      <c r="C55" s="71">
        <v>7.9299999999999995E-2</v>
      </c>
      <c r="D55" s="78"/>
      <c r="E55" s="82">
        <v>298.95999999999998</v>
      </c>
      <c r="F55" s="83"/>
      <c r="G55" s="80"/>
    </row>
    <row r="56" spans="1:7" x14ac:dyDescent="0.3">
      <c r="A56" s="1"/>
      <c r="B56" s="1" t="s">
        <v>166</v>
      </c>
      <c r="C56" s="72">
        <v>0.03</v>
      </c>
      <c r="D56" s="81"/>
      <c r="E56" s="82">
        <v>113.1</v>
      </c>
      <c r="F56" s="83"/>
      <c r="G56" s="80"/>
    </row>
    <row r="57" spans="1:7" x14ac:dyDescent="0.3">
      <c r="A57" s="1"/>
      <c r="B57" s="1" t="s">
        <v>167</v>
      </c>
      <c r="C57" s="71">
        <v>5.8000000000000003E-2</v>
      </c>
      <c r="D57" s="78"/>
      <c r="E57" s="82">
        <v>218.66</v>
      </c>
      <c r="F57" s="83"/>
      <c r="G57" s="80"/>
    </row>
    <row r="58" spans="1:7" x14ac:dyDescent="0.3">
      <c r="A58" s="1"/>
      <c r="B58" s="1" t="s">
        <v>168</v>
      </c>
      <c r="C58" s="72">
        <v>0.04</v>
      </c>
      <c r="D58" s="81"/>
      <c r="E58" s="82">
        <v>150.80000000000001</v>
      </c>
      <c r="F58" s="83"/>
      <c r="G58" s="80"/>
    </row>
    <row r="59" spans="1:7" x14ac:dyDescent="0.3">
      <c r="A59" s="1"/>
      <c r="B59" s="1" t="s">
        <v>169</v>
      </c>
      <c r="C59" s="71">
        <f>SUM(C50:C58)</f>
        <v>0.69720000000000015</v>
      </c>
      <c r="D59" s="78"/>
      <c r="E59" s="60"/>
      <c r="F59" s="62"/>
      <c r="G59" s="80">
        <f>SUM(E50:F58)</f>
        <v>2628.4500000000003</v>
      </c>
    </row>
    <row r="60" spans="1:7" x14ac:dyDescent="0.3">
      <c r="A60" s="1"/>
      <c r="B60" s="57" t="s">
        <v>170</v>
      </c>
      <c r="C60" s="58"/>
      <c r="D60" s="58"/>
      <c r="E60" s="58"/>
      <c r="F60" s="59"/>
      <c r="G60" s="11">
        <f>SUM(G49+G59)</f>
        <v>6398.4600000000009</v>
      </c>
    </row>
    <row r="61" spans="1:7" x14ac:dyDescent="0.3">
      <c r="A61" s="1"/>
      <c r="B61" s="5" t="s">
        <v>13</v>
      </c>
      <c r="C61" s="4" t="s">
        <v>14</v>
      </c>
      <c r="D61" s="14">
        <v>1</v>
      </c>
      <c r="E61" s="14"/>
      <c r="F61" s="11">
        <v>6398.46</v>
      </c>
      <c r="G61" s="11">
        <f t="shared" ref="G61" si="2">D61*F61</f>
        <v>6398.46</v>
      </c>
    </row>
    <row r="62" spans="1:7" x14ac:dyDescent="0.3">
      <c r="A62" s="1"/>
      <c r="B62" s="1"/>
      <c r="C62" s="1"/>
      <c r="D62" s="1"/>
      <c r="E62" s="1"/>
      <c r="F62" s="1"/>
      <c r="G62" s="1"/>
    </row>
    <row r="63" spans="1:7" x14ac:dyDescent="0.3">
      <c r="A63" s="52" t="s">
        <v>23</v>
      </c>
      <c r="B63" s="53"/>
      <c r="C63" s="53"/>
      <c r="D63" s="53"/>
      <c r="E63" s="53"/>
      <c r="F63" s="53"/>
      <c r="G63" s="12">
        <f>SUM(G25+G43+G61)</f>
        <v>52905.51</v>
      </c>
    </row>
    <row r="64" spans="1:7" x14ac:dyDescent="0.3">
      <c r="A64" s="85"/>
      <c r="B64" s="86"/>
      <c r="C64" s="86"/>
      <c r="D64" s="86"/>
      <c r="E64" s="86"/>
      <c r="F64" s="86"/>
      <c r="G64" s="39"/>
    </row>
    <row r="65" spans="1:7" x14ac:dyDescent="0.3">
      <c r="A65" s="10">
        <v>2</v>
      </c>
      <c r="B65" s="5" t="s">
        <v>181</v>
      </c>
      <c r="C65" s="1"/>
      <c r="D65" s="1"/>
      <c r="E65" s="1"/>
      <c r="F65" s="1"/>
      <c r="G65" s="1"/>
    </row>
    <row r="66" spans="1:7" x14ac:dyDescent="0.3">
      <c r="A66" s="5" t="s">
        <v>25</v>
      </c>
      <c r="B66" s="5" t="s">
        <v>26</v>
      </c>
      <c r="C66" s="2"/>
      <c r="D66" s="1"/>
      <c r="E66" s="1"/>
      <c r="F66" s="1"/>
      <c r="G66" s="1"/>
    </row>
    <row r="67" spans="1:7" x14ac:dyDescent="0.3">
      <c r="A67" s="1"/>
      <c r="B67" s="1" t="s">
        <v>28</v>
      </c>
      <c r="C67" s="2" t="s">
        <v>27</v>
      </c>
      <c r="D67" s="1">
        <f>26*9</f>
        <v>234</v>
      </c>
      <c r="E67" s="1"/>
      <c r="F67" s="9">
        <v>21</v>
      </c>
      <c r="G67" s="9">
        <f>D67*F67</f>
        <v>4914</v>
      </c>
    </row>
    <row r="68" spans="1:7" x14ac:dyDescent="0.3">
      <c r="A68" s="1"/>
      <c r="B68" s="1" t="s">
        <v>29</v>
      </c>
      <c r="C68" s="2" t="s">
        <v>27</v>
      </c>
      <c r="D68" s="1">
        <f>26*3</f>
        <v>78</v>
      </c>
      <c r="E68" s="1"/>
      <c r="F68" s="9">
        <v>21</v>
      </c>
      <c r="G68" s="9">
        <f t="shared" ref="G68:G69" si="3">D68*F68</f>
        <v>1638</v>
      </c>
    </row>
    <row r="69" spans="1:7" x14ac:dyDescent="0.3">
      <c r="A69" s="1"/>
      <c r="B69" s="1" t="s">
        <v>176</v>
      </c>
      <c r="C69" s="2" t="s">
        <v>27</v>
      </c>
      <c r="D69" s="1">
        <v>26</v>
      </c>
      <c r="E69" s="1"/>
      <c r="F69" s="9">
        <v>21</v>
      </c>
      <c r="G69" s="9">
        <f t="shared" si="3"/>
        <v>546</v>
      </c>
    </row>
    <row r="70" spans="1:7" x14ac:dyDescent="0.3">
      <c r="A70" s="17"/>
      <c r="B70" s="38" t="s">
        <v>145</v>
      </c>
      <c r="C70" s="48"/>
      <c r="D70" s="38"/>
      <c r="E70" s="38"/>
      <c r="F70" s="17"/>
      <c r="G70" s="39">
        <f>SUM(G67:G69)</f>
        <v>7098</v>
      </c>
    </row>
    <row r="71" spans="1:7" x14ac:dyDescent="0.3">
      <c r="A71" s="1" t="s">
        <v>31</v>
      </c>
      <c r="B71" s="1" t="s">
        <v>147</v>
      </c>
      <c r="C71" s="2"/>
      <c r="D71" s="1"/>
      <c r="E71" s="1"/>
      <c r="F71" s="1"/>
      <c r="G71" s="1"/>
    </row>
    <row r="72" spans="1:7" x14ac:dyDescent="0.3">
      <c r="A72" s="1"/>
      <c r="B72" s="1" t="s">
        <v>148</v>
      </c>
      <c r="C72" s="2" t="s">
        <v>27</v>
      </c>
      <c r="D72" s="1">
        <v>9</v>
      </c>
      <c r="E72" s="1"/>
      <c r="F72" s="47">
        <v>17</v>
      </c>
      <c r="G72" s="9">
        <f>F72*D72</f>
        <v>153</v>
      </c>
    </row>
    <row r="73" spans="1:7" x14ac:dyDescent="0.3">
      <c r="A73" s="1"/>
      <c r="B73" s="1" t="s">
        <v>149</v>
      </c>
      <c r="C73" s="2" t="s">
        <v>27</v>
      </c>
      <c r="D73" s="1">
        <v>3</v>
      </c>
      <c r="E73" s="1"/>
      <c r="F73" s="47">
        <v>17</v>
      </c>
      <c r="G73" s="9">
        <f t="shared" ref="G73:G74" si="4">F73*D73</f>
        <v>51</v>
      </c>
    </row>
    <row r="74" spans="1:7" x14ac:dyDescent="0.3">
      <c r="A74" s="1"/>
      <c r="B74" s="1" t="s">
        <v>177</v>
      </c>
      <c r="C74" s="2" t="s">
        <v>27</v>
      </c>
      <c r="D74" s="1">
        <v>1</v>
      </c>
      <c r="E74" s="1"/>
      <c r="F74" s="47">
        <v>17</v>
      </c>
      <c r="G74" s="9">
        <f t="shared" si="4"/>
        <v>17</v>
      </c>
    </row>
    <row r="75" spans="1:7" x14ac:dyDescent="0.3">
      <c r="A75" s="1"/>
      <c r="B75" s="1" t="s">
        <v>150</v>
      </c>
      <c r="C75" s="2"/>
      <c r="D75" s="1"/>
      <c r="E75" s="1"/>
      <c r="F75" s="47"/>
      <c r="G75" s="11">
        <f>SUM(G72:G74)</f>
        <v>221</v>
      </c>
    </row>
    <row r="76" spans="1:7" x14ac:dyDescent="0.3">
      <c r="A76" s="13"/>
      <c r="B76" s="52" t="s">
        <v>180</v>
      </c>
      <c r="C76" s="53"/>
      <c r="D76" s="53"/>
      <c r="E76" s="53"/>
      <c r="F76" s="55"/>
      <c r="G76" s="12">
        <f>G70+G75</f>
        <v>7319</v>
      </c>
    </row>
    <row r="77" spans="1:7" x14ac:dyDescent="0.3">
      <c r="A77" s="88"/>
      <c r="B77" s="89"/>
      <c r="C77" s="89"/>
      <c r="D77" s="89"/>
      <c r="E77" s="89"/>
      <c r="F77" s="89"/>
      <c r="G77" s="90"/>
    </row>
    <row r="78" spans="1:7" x14ac:dyDescent="0.3">
      <c r="A78" s="5" t="s">
        <v>146</v>
      </c>
      <c r="B78" s="5" t="s">
        <v>32</v>
      </c>
      <c r="C78" s="1"/>
      <c r="D78" s="1"/>
      <c r="E78" s="1"/>
      <c r="F78" s="1"/>
      <c r="G78" s="1"/>
    </row>
    <row r="79" spans="1:7" x14ac:dyDescent="0.3">
      <c r="A79" s="1"/>
      <c r="B79" s="1" t="s">
        <v>108</v>
      </c>
      <c r="C79" s="2" t="s">
        <v>35</v>
      </c>
      <c r="D79" s="8">
        <v>1</v>
      </c>
      <c r="E79" s="8"/>
      <c r="F79" s="9">
        <v>69.900000000000006</v>
      </c>
      <c r="G79" s="9">
        <f>D79*F79</f>
        <v>69.900000000000006</v>
      </c>
    </row>
    <row r="80" spans="1:7" x14ac:dyDescent="0.3">
      <c r="A80" s="1"/>
      <c r="B80" s="1" t="s">
        <v>103</v>
      </c>
      <c r="C80" s="2" t="s">
        <v>35</v>
      </c>
      <c r="D80" s="8">
        <v>0.25</v>
      </c>
      <c r="E80" s="8"/>
      <c r="F80" s="9">
        <v>95</v>
      </c>
      <c r="G80" s="9">
        <f t="shared" ref="G80:G85" si="5">D80*F80</f>
        <v>23.75</v>
      </c>
    </row>
    <row r="81" spans="1:7" x14ac:dyDescent="0.3">
      <c r="A81" s="1"/>
      <c r="B81" s="1" t="s">
        <v>104</v>
      </c>
      <c r="C81" s="2" t="s">
        <v>35</v>
      </c>
      <c r="D81" s="8">
        <v>1</v>
      </c>
      <c r="E81" s="8"/>
      <c r="F81" s="9">
        <v>125</v>
      </c>
      <c r="G81" s="9">
        <f t="shared" si="5"/>
        <v>125</v>
      </c>
    </row>
    <row r="82" spans="1:7" x14ac:dyDescent="0.3">
      <c r="A82" s="1"/>
      <c r="B82" s="1" t="s">
        <v>33</v>
      </c>
      <c r="C82" s="2" t="s">
        <v>35</v>
      </c>
      <c r="D82" s="8">
        <v>0.25</v>
      </c>
      <c r="E82" s="8"/>
      <c r="F82" s="9">
        <v>14.73</v>
      </c>
      <c r="G82" s="9">
        <f t="shared" si="5"/>
        <v>3.6825000000000001</v>
      </c>
    </row>
    <row r="83" spans="1:7" ht="28.8" x14ac:dyDescent="0.3">
      <c r="A83" s="1"/>
      <c r="B83" s="22" t="s">
        <v>109</v>
      </c>
      <c r="C83" s="2" t="s">
        <v>35</v>
      </c>
      <c r="D83" s="8">
        <v>8</v>
      </c>
      <c r="E83" s="8"/>
      <c r="F83" s="9">
        <v>31.9</v>
      </c>
      <c r="G83" s="9">
        <f t="shared" si="5"/>
        <v>255.2</v>
      </c>
    </row>
    <row r="84" spans="1:7" x14ac:dyDescent="0.3">
      <c r="A84" s="1"/>
      <c r="B84" s="22" t="s">
        <v>110</v>
      </c>
      <c r="C84" s="2" t="s">
        <v>35</v>
      </c>
      <c r="D84" s="8">
        <v>0.5</v>
      </c>
      <c r="E84" s="8"/>
      <c r="F84" s="9">
        <v>69.959999999999994</v>
      </c>
      <c r="G84" s="9">
        <f t="shared" si="5"/>
        <v>34.979999999999997</v>
      </c>
    </row>
    <row r="85" spans="1:7" x14ac:dyDescent="0.3">
      <c r="A85" s="1"/>
      <c r="B85" s="1" t="s">
        <v>34</v>
      </c>
      <c r="C85" s="2" t="s">
        <v>35</v>
      </c>
      <c r="D85" s="8">
        <v>0.25</v>
      </c>
      <c r="E85" s="8"/>
      <c r="F85" s="9">
        <v>53.9</v>
      </c>
      <c r="G85" s="9">
        <f t="shared" si="5"/>
        <v>13.475</v>
      </c>
    </row>
    <row r="86" spans="1:7" x14ac:dyDescent="0.3">
      <c r="A86" s="1"/>
      <c r="B86" s="5" t="s">
        <v>36</v>
      </c>
      <c r="C86" s="5"/>
      <c r="D86" s="5"/>
      <c r="E86" s="5"/>
      <c r="F86" s="5"/>
      <c r="G86" s="11">
        <f>G79+G80+G81+G82+G83+G84+G85</f>
        <v>525.98750000000007</v>
      </c>
    </row>
    <row r="87" spans="1:7" x14ac:dyDescent="0.3">
      <c r="A87" s="13"/>
      <c r="B87" s="15" t="s">
        <v>38</v>
      </c>
      <c r="C87" s="15"/>
      <c r="D87" s="16">
        <f>9</f>
        <v>9</v>
      </c>
      <c r="E87" s="16"/>
      <c r="F87" s="13"/>
      <c r="G87" s="12">
        <f>D87*G86</f>
        <v>4733.8875000000007</v>
      </c>
    </row>
    <row r="88" spans="1:7" x14ac:dyDescent="0.3">
      <c r="A88" s="17"/>
      <c r="B88" s="17" t="s">
        <v>178</v>
      </c>
      <c r="C88" s="2" t="s">
        <v>35</v>
      </c>
      <c r="D88" s="18">
        <v>0.5</v>
      </c>
      <c r="E88" s="18"/>
      <c r="F88" s="19">
        <f>G86</f>
        <v>525.98750000000007</v>
      </c>
      <c r="G88" s="19">
        <f>F88*D88</f>
        <v>262.99375000000003</v>
      </c>
    </row>
    <row r="89" spans="1:7" x14ac:dyDescent="0.3">
      <c r="A89" s="15"/>
      <c r="B89" s="15" t="s">
        <v>179</v>
      </c>
      <c r="C89" s="27" t="s">
        <v>27</v>
      </c>
      <c r="D89" s="16">
        <f>D61+D25</f>
        <v>10</v>
      </c>
      <c r="E89" s="16"/>
      <c r="F89" s="15"/>
      <c r="G89" s="12">
        <f>D89*G88</f>
        <v>2629.9375000000005</v>
      </c>
    </row>
    <row r="90" spans="1:7" x14ac:dyDescent="0.3">
      <c r="A90" s="13"/>
      <c r="B90" s="52" t="s">
        <v>40</v>
      </c>
      <c r="C90" s="53"/>
      <c r="D90" s="53"/>
      <c r="E90" s="53"/>
      <c r="F90" s="55"/>
      <c r="G90" s="12">
        <f>G76+G87+G89</f>
        <v>14682.825000000001</v>
      </c>
    </row>
    <row r="91" spans="1:7" x14ac:dyDescent="0.3">
      <c r="A91" s="61"/>
      <c r="B91" s="61"/>
      <c r="C91" s="61"/>
      <c r="D91" s="61"/>
      <c r="E91" s="61"/>
      <c r="F91" s="61"/>
      <c r="G91" s="61"/>
    </row>
    <row r="92" spans="1:7" x14ac:dyDescent="0.3">
      <c r="A92" s="1" t="s">
        <v>41</v>
      </c>
      <c r="B92" s="5" t="s">
        <v>42</v>
      </c>
      <c r="C92" s="1"/>
      <c r="D92" s="1"/>
      <c r="E92" s="1"/>
      <c r="F92" s="1"/>
      <c r="G92" s="1"/>
    </row>
    <row r="93" spans="1:7" x14ac:dyDescent="0.3">
      <c r="A93" s="5" t="s">
        <v>43</v>
      </c>
      <c r="B93" s="5" t="s">
        <v>111</v>
      </c>
      <c r="C93" s="2" t="s">
        <v>27</v>
      </c>
      <c r="D93" s="8">
        <v>3</v>
      </c>
      <c r="E93" s="8"/>
      <c r="F93" s="9">
        <f>285000+155000</f>
        <v>440000</v>
      </c>
      <c r="G93" s="9">
        <f>D93*F93</f>
        <v>1320000</v>
      </c>
    </row>
    <row r="94" spans="1:7" x14ac:dyDescent="0.3">
      <c r="A94" s="1"/>
      <c r="B94" s="1" t="s">
        <v>44</v>
      </c>
      <c r="C94" s="2" t="s">
        <v>11</v>
      </c>
      <c r="D94" s="8">
        <v>3</v>
      </c>
      <c r="E94" s="8">
        <v>0.55000000000000004</v>
      </c>
      <c r="F94" s="9">
        <f>F93*E94</f>
        <v>242000.00000000003</v>
      </c>
      <c r="G94" s="9">
        <f>D94*F94</f>
        <v>726000.00000000012</v>
      </c>
    </row>
    <row r="95" spans="1:7" x14ac:dyDescent="0.3">
      <c r="A95" s="1"/>
      <c r="B95" s="5" t="s">
        <v>46</v>
      </c>
      <c r="C95" s="4" t="s">
        <v>11</v>
      </c>
      <c r="D95" s="14">
        <v>3</v>
      </c>
      <c r="E95" s="14">
        <v>0.45</v>
      </c>
      <c r="F95" s="11">
        <v>141750</v>
      </c>
      <c r="G95" s="11">
        <f>D95*F95</f>
        <v>425250</v>
      </c>
    </row>
    <row r="96" spans="1:7" x14ac:dyDescent="0.3">
      <c r="A96" s="1"/>
      <c r="B96" s="1"/>
      <c r="C96" s="2"/>
      <c r="D96" s="8"/>
      <c r="E96" s="8"/>
      <c r="F96" s="1"/>
      <c r="G96" s="9"/>
    </row>
    <row r="97" spans="1:7" x14ac:dyDescent="0.3">
      <c r="A97" s="5" t="s">
        <v>45</v>
      </c>
      <c r="B97" s="5" t="s">
        <v>47</v>
      </c>
      <c r="C97" s="2" t="s">
        <v>27</v>
      </c>
      <c r="D97" s="8">
        <v>1</v>
      </c>
      <c r="E97" s="8"/>
      <c r="F97" s="9">
        <v>112000</v>
      </c>
      <c r="G97" s="9">
        <f>D97*F97</f>
        <v>112000</v>
      </c>
    </row>
    <row r="98" spans="1:7" x14ac:dyDescent="0.3">
      <c r="A98" s="1"/>
      <c r="B98" s="1" t="s">
        <v>48</v>
      </c>
      <c r="C98" s="2" t="s">
        <v>11</v>
      </c>
      <c r="D98" s="8">
        <v>1</v>
      </c>
      <c r="E98" s="8">
        <v>0.48</v>
      </c>
      <c r="F98" s="9">
        <f>G97*0.48</f>
        <v>53760</v>
      </c>
      <c r="G98" s="9">
        <f>D98*F98</f>
        <v>53760</v>
      </c>
    </row>
    <row r="99" spans="1:7" x14ac:dyDescent="0.3">
      <c r="A99" s="1"/>
      <c r="B99" s="5" t="s">
        <v>46</v>
      </c>
      <c r="C99" s="4" t="s">
        <v>11</v>
      </c>
      <c r="D99" s="14">
        <v>1</v>
      </c>
      <c r="E99" s="14">
        <v>0.52</v>
      </c>
      <c r="F99" s="11">
        <f>F97*E99</f>
        <v>58240</v>
      </c>
      <c r="G99" s="11">
        <f>D99*F99</f>
        <v>58240</v>
      </c>
    </row>
    <row r="100" spans="1:7" x14ac:dyDescent="0.3">
      <c r="A100" s="1"/>
      <c r="B100" s="1"/>
      <c r="C100" s="2"/>
      <c r="D100" s="8"/>
      <c r="E100" s="8"/>
      <c r="F100" s="1"/>
      <c r="G100" s="9"/>
    </row>
    <row r="101" spans="1:7" x14ac:dyDescent="0.3">
      <c r="A101" s="1"/>
      <c r="B101" s="1" t="s">
        <v>49</v>
      </c>
      <c r="C101" s="1"/>
      <c r="D101" s="1"/>
      <c r="E101" s="1"/>
      <c r="F101" s="1"/>
      <c r="G101" s="9">
        <f>G93+G97</f>
        <v>1432000</v>
      </c>
    </row>
    <row r="102" spans="1:7" x14ac:dyDescent="0.3">
      <c r="A102" s="1"/>
      <c r="B102" s="1" t="s">
        <v>50</v>
      </c>
      <c r="C102" s="1"/>
      <c r="D102" s="1"/>
      <c r="E102" s="1"/>
      <c r="F102" s="1"/>
      <c r="G102" s="9">
        <f>G94+G98</f>
        <v>779760.00000000012</v>
      </c>
    </row>
    <row r="103" spans="1:7" x14ac:dyDescent="0.3">
      <c r="A103" s="1"/>
      <c r="B103" s="1" t="s">
        <v>51</v>
      </c>
      <c r="C103" s="1"/>
      <c r="D103" s="1"/>
      <c r="E103" s="1"/>
      <c r="F103" s="1"/>
      <c r="G103" s="9">
        <f>G95+G99</f>
        <v>483490</v>
      </c>
    </row>
    <row r="104" spans="1:7" x14ac:dyDescent="0.3">
      <c r="A104" s="13"/>
      <c r="B104" s="13" t="s">
        <v>53</v>
      </c>
      <c r="C104" s="28" t="s">
        <v>52</v>
      </c>
      <c r="D104" s="29">
        <v>60</v>
      </c>
      <c r="E104" s="13"/>
      <c r="F104" s="13"/>
      <c r="G104" s="12">
        <f>G103/60</f>
        <v>8058.166666666667</v>
      </c>
    </row>
    <row r="105" spans="1:7" x14ac:dyDescent="0.3">
      <c r="A105" s="60"/>
      <c r="B105" s="61"/>
      <c r="C105" s="61"/>
      <c r="D105" s="61"/>
      <c r="E105" s="61"/>
      <c r="F105" s="61"/>
      <c r="G105" s="62"/>
    </row>
    <row r="106" spans="1:7" x14ac:dyDescent="0.3">
      <c r="A106" s="13"/>
      <c r="B106" s="15" t="s">
        <v>54</v>
      </c>
      <c r="C106" s="13"/>
      <c r="D106" s="13"/>
      <c r="E106" s="13"/>
      <c r="F106" s="13"/>
      <c r="G106" s="12">
        <f>G101</f>
        <v>1432000</v>
      </c>
    </row>
    <row r="107" spans="1:7" x14ac:dyDescent="0.3">
      <c r="A107" s="1"/>
      <c r="B107" s="1"/>
      <c r="C107" s="1"/>
      <c r="D107" s="1"/>
      <c r="E107" s="1"/>
      <c r="F107" s="1"/>
      <c r="G107" s="1" t="s">
        <v>113</v>
      </c>
    </row>
    <row r="108" spans="1:7" x14ac:dyDescent="0.3">
      <c r="A108" s="5" t="s">
        <v>55</v>
      </c>
      <c r="B108" s="5" t="s">
        <v>56</v>
      </c>
      <c r="C108" s="1"/>
      <c r="D108" s="1"/>
      <c r="E108" s="9"/>
      <c r="F108" s="1"/>
      <c r="G108" s="9"/>
    </row>
    <row r="109" spans="1:7" x14ac:dyDescent="0.3">
      <c r="A109" s="1"/>
      <c r="B109" s="1" t="s">
        <v>57</v>
      </c>
      <c r="C109" s="2" t="s">
        <v>11</v>
      </c>
      <c r="D109" s="1">
        <v>0.01</v>
      </c>
      <c r="E109" s="9"/>
      <c r="F109" s="9">
        <f>G101</f>
        <v>1432000</v>
      </c>
      <c r="G109" s="9">
        <f>D109*F109</f>
        <v>14320</v>
      </c>
    </row>
    <row r="110" spans="1:7" x14ac:dyDescent="0.3">
      <c r="A110" s="1"/>
      <c r="B110" s="1" t="s">
        <v>58</v>
      </c>
      <c r="C110" s="2" t="s">
        <v>27</v>
      </c>
      <c r="D110" s="8">
        <v>3</v>
      </c>
      <c r="E110" s="1"/>
      <c r="F110" s="19">
        <v>396</v>
      </c>
      <c r="G110" s="9">
        <f>D110*F110</f>
        <v>1188</v>
      </c>
    </row>
    <row r="111" spans="1:7" x14ac:dyDescent="0.3">
      <c r="A111" s="1"/>
      <c r="B111" s="1" t="s">
        <v>59</v>
      </c>
      <c r="C111" s="2" t="s">
        <v>27</v>
      </c>
      <c r="D111" s="8">
        <v>3</v>
      </c>
      <c r="E111" s="1"/>
      <c r="F111" s="19">
        <v>330</v>
      </c>
      <c r="G111" s="9">
        <f>D111*F111</f>
        <v>990</v>
      </c>
    </row>
    <row r="112" spans="1:7" x14ac:dyDescent="0.3">
      <c r="A112" s="1"/>
      <c r="B112" s="1" t="s">
        <v>60</v>
      </c>
      <c r="C112" s="2" t="s">
        <v>27</v>
      </c>
      <c r="D112" s="8">
        <v>1</v>
      </c>
      <c r="E112" s="1"/>
      <c r="F112" s="19">
        <v>497.8</v>
      </c>
      <c r="G112" s="9">
        <f>D112*F112</f>
        <v>497.8</v>
      </c>
    </row>
    <row r="113" spans="1:7" x14ac:dyDescent="0.3">
      <c r="A113" s="1"/>
      <c r="B113" s="1" t="s">
        <v>61</v>
      </c>
      <c r="C113" s="2" t="s">
        <v>27</v>
      </c>
      <c r="D113" s="8">
        <v>1</v>
      </c>
      <c r="E113" s="1"/>
      <c r="F113" s="19">
        <v>497.8</v>
      </c>
      <c r="G113" s="9">
        <f>D113*F113</f>
        <v>497.8</v>
      </c>
    </row>
    <row r="114" spans="1:7" x14ac:dyDescent="0.3">
      <c r="A114" s="1"/>
      <c r="B114" s="5" t="s">
        <v>62</v>
      </c>
      <c r="C114" s="2"/>
      <c r="D114" s="1"/>
      <c r="E114" s="1"/>
      <c r="F114" s="9"/>
      <c r="G114" s="11">
        <f>SUM(G109:G113)</f>
        <v>17493.599999999999</v>
      </c>
    </row>
    <row r="115" spans="1:7" x14ac:dyDescent="0.3">
      <c r="A115" s="13"/>
      <c r="B115" s="15" t="s">
        <v>63</v>
      </c>
      <c r="C115" s="28" t="s">
        <v>27</v>
      </c>
      <c r="D115" s="13">
        <v>12</v>
      </c>
      <c r="E115" s="13"/>
      <c r="F115" s="13"/>
      <c r="G115" s="12">
        <f>G114/D115</f>
        <v>1457.8</v>
      </c>
    </row>
    <row r="116" spans="1:7" x14ac:dyDescent="0.3">
      <c r="A116" s="13"/>
      <c r="B116" s="52" t="s">
        <v>64</v>
      </c>
      <c r="C116" s="53"/>
      <c r="D116" s="53"/>
      <c r="E116" s="53"/>
      <c r="F116" s="55"/>
      <c r="G116" s="12">
        <f>G104+G115</f>
        <v>9515.9666666666672</v>
      </c>
    </row>
    <row r="117" spans="1:7" x14ac:dyDescent="0.3">
      <c r="A117" s="60"/>
      <c r="B117" s="61"/>
      <c r="C117" s="61"/>
      <c r="D117" s="61"/>
      <c r="E117" s="61"/>
      <c r="F117" s="61"/>
      <c r="G117" s="62"/>
    </row>
    <row r="118" spans="1:7" x14ac:dyDescent="0.3">
      <c r="A118" s="5" t="s">
        <v>65</v>
      </c>
      <c r="B118" s="1" t="s">
        <v>74</v>
      </c>
      <c r="C118" s="1"/>
      <c r="D118" s="1"/>
      <c r="E118" s="1"/>
      <c r="F118" s="1"/>
      <c r="G118" s="1"/>
    </row>
    <row r="119" spans="1:7" ht="28.8" x14ac:dyDescent="0.3">
      <c r="A119" s="3" t="s">
        <v>66</v>
      </c>
      <c r="B119" s="3" t="s">
        <v>67</v>
      </c>
      <c r="C119" s="7" t="s">
        <v>75</v>
      </c>
      <c r="D119" s="16">
        <f>((45*2)+45)*30</f>
        <v>4050</v>
      </c>
      <c r="E119" s="1"/>
      <c r="F119" s="1"/>
      <c r="G119" s="1"/>
    </row>
    <row r="120" spans="1:7" x14ac:dyDescent="0.3">
      <c r="A120" s="1"/>
      <c r="B120" s="1" t="s">
        <v>69</v>
      </c>
      <c r="C120" s="2" t="s">
        <v>114</v>
      </c>
      <c r="D120" s="8">
        <v>3</v>
      </c>
      <c r="E120" s="1"/>
      <c r="F120" s="9">
        <v>5.97</v>
      </c>
      <c r="G120" s="9">
        <f>F120*D119/D120</f>
        <v>8059.5</v>
      </c>
    </row>
    <row r="121" spans="1:7" x14ac:dyDescent="0.3">
      <c r="A121" s="1"/>
      <c r="B121" s="1" t="s">
        <v>70</v>
      </c>
      <c r="C121" s="2" t="s">
        <v>115</v>
      </c>
      <c r="D121" s="8">
        <v>1</v>
      </c>
      <c r="E121" s="1"/>
      <c r="F121" s="9">
        <v>30</v>
      </c>
      <c r="G121" s="9">
        <f>F121*D119/1/1000</f>
        <v>121.5</v>
      </c>
    </row>
    <row r="122" spans="1:7" x14ac:dyDescent="0.3">
      <c r="A122" s="1"/>
      <c r="B122" s="1" t="s">
        <v>71</v>
      </c>
      <c r="C122" s="2" t="s">
        <v>115</v>
      </c>
      <c r="D122" s="8">
        <v>0.9</v>
      </c>
      <c r="E122" s="1"/>
      <c r="F122" s="19">
        <v>24.71</v>
      </c>
      <c r="G122" s="9">
        <f>F122*D119/0.9/1000</f>
        <v>111.19499999999999</v>
      </c>
    </row>
    <row r="123" spans="1:7" x14ac:dyDescent="0.3">
      <c r="A123" s="1"/>
      <c r="B123" s="1" t="s">
        <v>72</v>
      </c>
      <c r="C123" s="2" t="s">
        <v>115</v>
      </c>
      <c r="D123" s="8">
        <v>1</v>
      </c>
      <c r="E123" s="1"/>
      <c r="F123" s="19">
        <v>40</v>
      </c>
      <c r="G123" s="9">
        <f>F123*D119/1/1000</f>
        <v>162</v>
      </c>
    </row>
    <row r="124" spans="1:7" x14ac:dyDescent="0.3">
      <c r="A124" s="1"/>
      <c r="B124" s="1" t="s">
        <v>73</v>
      </c>
      <c r="C124" s="2" t="s">
        <v>115</v>
      </c>
      <c r="D124" s="8">
        <v>1</v>
      </c>
      <c r="E124" s="1"/>
      <c r="F124" s="9">
        <v>18.899999999999999</v>
      </c>
      <c r="G124" s="9">
        <f>F124*D119/1/1000</f>
        <v>76.545000000000002</v>
      </c>
    </row>
    <row r="125" spans="1:7" x14ac:dyDescent="0.3">
      <c r="A125" s="1"/>
      <c r="B125" s="5" t="s">
        <v>142</v>
      </c>
      <c r="C125" s="4"/>
      <c r="D125" s="5">
        <v>3</v>
      </c>
      <c r="E125" s="5"/>
      <c r="F125" s="5"/>
      <c r="G125" s="11">
        <f t="shared" ref="G125" si="6">SUM(G120:G124)</f>
        <v>8530.74</v>
      </c>
    </row>
    <row r="126" spans="1:7" x14ac:dyDescent="0.3">
      <c r="A126" s="1"/>
      <c r="B126" s="5" t="s">
        <v>116</v>
      </c>
      <c r="C126" s="4"/>
      <c r="D126" s="14">
        <f>D125*D119</f>
        <v>12150</v>
      </c>
      <c r="E126" s="14"/>
      <c r="F126" s="5"/>
      <c r="G126" s="11">
        <f>D125*G125</f>
        <v>25592.22</v>
      </c>
    </row>
    <row r="127" spans="1:7" x14ac:dyDescent="0.3">
      <c r="A127" s="1"/>
      <c r="B127" s="1"/>
      <c r="C127" s="2"/>
      <c r="D127" s="1"/>
      <c r="E127" s="1"/>
      <c r="F127" s="1"/>
      <c r="G127" s="1"/>
    </row>
    <row r="128" spans="1:7" x14ac:dyDescent="0.3">
      <c r="A128" s="1" t="s">
        <v>119</v>
      </c>
      <c r="B128" s="1" t="s">
        <v>47</v>
      </c>
      <c r="C128" s="2" t="s">
        <v>68</v>
      </c>
      <c r="D128" s="16">
        <f>4050/2</f>
        <v>2025</v>
      </c>
      <c r="E128" s="1"/>
      <c r="F128" s="1"/>
      <c r="G128" s="1"/>
    </row>
    <row r="129" spans="1:7" x14ac:dyDescent="0.3">
      <c r="A129" s="1"/>
      <c r="B129" s="1" t="s">
        <v>76</v>
      </c>
      <c r="C129" s="1"/>
      <c r="D129" s="8">
        <v>10</v>
      </c>
      <c r="E129" s="9"/>
      <c r="F129" s="9">
        <v>5.29</v>
      </c>
      <c r="G129" s="9">
        <f>F129*D128/10</f>
        <v>1071.2249999999999</v>
      </c>
    </row>
    <row r="130" spans="1:7" x14ac:dyDescent="0.3">
      <c r="A130" s="1"/>
      <c r="B130" s="1" t="s">
        <v>77</v>
      </c>
      <c r="C130" s="1"/>
      <c r="D130" s="1">
        <v>1</v>
      </c>
      <c r="E130" s="1"/>
      <c r="F130" s="9">
        <f>G129</f>
        <v>1071.2249999999999</v>
      </c>
      <c r="G130" s="11">
        <f>D130*F130</f>
        <v>1071.2249999999999</v>
      </c>
    </row>
    <row r="131" spans="1:7" x14ac:dyDescent="0.3">
      <c r="A131" s="15"/>
      <c r="B131" s="15" t="s">
        <v>78</v>
      </c>
      <c r="C131" s="15"/>
      <c r="D131" s="15"/>
      <c r="E131" s="15"/>
      <c r="F131" s="15"/>
      <c r="G131" s="12">
        <f>G126+G130</f>
        <v>26663.445</v>
      </c>
    </row>
    <row r="132" spans="1:7" x14ac:dyDescent="0.3">
      <c r="A132" s="1"/>
      <c r="B132" s="1"/>
      <c r="C132" s="1"/>
      <c r="D132" s="1"/>
      <c r="E132" s="1"/>
      <c r="F132" s="1"/>
      <c r="G132" s="1"/>
    </row>
    <row r="133" spans="1:7" x14ac:dyDescent="0.3">
      <c r="A133" s="15" t="s">
        <v>79</v>
      </c>
      <c r="B133" s="15" t="s">
        <v>80</v>
      </c>
      <c r="C133" s="15"/>
      <c r="D133" s="15"/>
      <c r="E133" s="15"/>
      <c r="F133" s="15"/>
      <c r="G133" s="15"/>
    </row>
    <row r="134" spans="1:7" x14ac:dyDescent="0.3">
      <c r="A134" s="1" t="s">
        <v>81</v>
      </c>
      <c r="B134" s="1" t="s">
        <v>67</v>
      </c>
      <c r="C134" s="1"/>
      <c r="D134" s="1"/>
      <c r="E134" s="1"/>
      <c r="F134" s="1"/>
      <c r="G134" s="1"/>
    </row>
    <row r="135" spans="1:7" x14ac:dyDescent="0.3">
      <c r="A135" s="1"/>
      <c r="B135" s="1" t="s">
        <v>82</v>
      </c>
      <c r="C135" s="2" t="s">
        <v>27</v>
      </c>
      <c r="D135" s="1">
        <v>6</v>
      </c>
      <c r="E135" s="1"/>
      <c r="F135" s="9">
        <v>1846</v>
      </c>
      <c r="G135" s="9">
        <f>D135*F135</f>
        <v>11076</v>
      </c>
    </row>
    <row r="136" spans="1:7" x14ac:dyDescent="0.3">
      <c r="A136" s="1"/>
      <c r="B136" s="1" t="s">
        <v>83</v>
      </c>
      <c r="C136" s="2" t="s">
        <v>84</v>
      </c>
      <c r="D136" s="1">
        <v>30000</v>
      </c>
      <c r="E136" s="1"/>
      <c r="F136" s="9">
        <f>G135</f>
        <v>11076</v>
      </c>
      <c r="G136" s="9">
        <f>F136/D136</f>
        <v>0.36919999999999997</v>
      </c>
    </row>
    <row r="137" spans="1:7" x14ac:dyDescent="0.3">
      <c r="A137" s="15"/>
      <c r="B137" s="15" t="s">
        <v>85</v>
      </c>
      <c r="C137" s="21" t="s">
        <v>86</v>
      </c>
      <c r="D137" s="15">
        <f>D119*3</f>
        <v>12150</v>
      </c>
      <c r="E137" s="16"/>
      <c r="F137" s="12">
        <f>G136</f>
        <v>0.36919999999999997</v>
      </c>
      <c r="G137" s="12">
        <f>D137*F137</f>
        <v>4485.78</v>
      </c>
    </row>
    <row r="138" spans="1:7" x14ac:dyDescent="0.3">
      <c r="A138" s="1"/>
      <c r="B138" s="1"/>
      <c r="C138" s="1"/>
      <c r="D138" s="1"/>
      <c r="E138" s="1"/>
      <c r="F138" s="1"/>
      <c r="G138" s="1"/>
    </row>
    <row r="139" spans="1:7" x14ac:dyDescent="0.3">
      <c r="A139" s="1" t="s">
        <v>87</v>
      </c>
      <c r="B139" s="1" t="s">
        <v>47</v>
      </c>
      <c r="C139" s="1"/>
      <c r="D139" s="1"/>
      <c r="E139" s="1"/>
      <c r="F139" s="1"/>
      <c r="G139" s="1"/>
    </row>
    <row r="140" spans="1:7" x14ac:dyDescent="0.3">
      <c r="A140" s="1"/>
      <c r="B140" s="1" t="s">
        <v>82</v>
      </c>
      <c r="C140" s="2" t="s">
        <v>27</v>
      </c>
      <c r="D140" s="1">
        <v>4</v>
      </c>
      <c r="E140" s="1"/>
      <c r="F140" s="9">
        <v>340</v>
      </c>
      <c r="G140" s="9">
        <f>D140*F140</f>
        <v>1360</v>
      </c>
    </row>
    <row r="141" spans="1:7" x14ac:dyDescent="0.3">
      <c r="A141" s="1"/>
      <c r="B141" s="1" t="s">
        <v>83</v>
      </c>
      <c r="C141" s="2" t="s">
        <v>84</v>
      </c>
      <c r="D141" s="1">
        <v>30000</v>
      </c>
      <c r="E141" s="1"/>
      <c r="F141" s="9">
        <f>G140</f>
        <v>1360</v>
      </c>
      <c r="G141" s="9">
        <f>F141/D141</f>
        <v>4.5333333333333337E-2</v>
      </c>
    </row>
    <row r="142" spans="1:7" x14ac:dyDescent="0.3">
      <c r="A142" s="15"/>
      <c r="B142" s="15" t="s">
        <v>85</v>
      </c>
      <c r="C142" s="21" t="s">
        <v>86</v>
      </c>
      <c r="D142" s="13">
        <v>2025</v>
      </c>
      <c r="E142" s="15"/>
      <c r="F142" s="12">
        <f>G141</f>
        <v>4.5333333333333337E-2</v>
      </c>
      <c r="G142" s="12">
        <f>D142*F142</f>
        <v>91.800000000000011</v>
      </c>
    </row>
    <row r="143" spans="1:7" x14ac:dyDescent="0.3">
      <c r="A143" s="15"/>
      <c r="B143" s="15" t="s">
        <v>89</v>
      </c>
      <c r="C143" s="15"/>
      <c r="D143" s="15"/>
      <c r="E143" s="15"/>
      <c r="F143" s="15"/>
      <c r="G143" s="12">
        <f>G137+G142</f>
        <v>4577.58</v>
      </c>
    </row>
    <row r="144" spans="1:7" x14ac:dyDescent="0.3">
      <c r="A144" s="15" t="s">
        <v>90</v>
      </c>
      <c r="B144" s="15" t="s">
        <v>118</v>
      </c>
      <c r="C144" s="15"/>
      <c r="D144" s="15"/>
      <c r="E144" s="15"/>
      <c r="F144" s="15"/>
      <c r="G144" s="12">
        <f>G145+G146</f>
        <v>115664.32666666668</v>
      </c>
    </row>
    <row r="145" spans="1:7" x14ac:dyDescent="0.3">
      <c r="A145" s="1"/>
      <c r="B145" s="1" t="s">
        <v>182</v>
      </c>
      <c r="C145" s="1"/>
      <c r="D145" s="1"/>
      <c r="E145" s="1"/>
      <c r="F145" s="1"/>
      <c r="G145" s="9">
        <f>SUM(G63+G76+G90)</f>
        <v>74907.335000000006</v>
      </c>
    </row>
    <row r="146" spans="1:7" x14ac:dyDescent="0.3">
      <c r="A146" s="1"/>
      <c r="B146" s="1" t="s">
        <v>93</v>
      </c>
      <c r="C146" s="1"/>
      <c r="D146" s="1"/>
      <c r="E146" s="1"/>
      <c r="F146" s="1"/>
      <c r="G146" s="9">
        <f>SUM(G116+G131+G143)</f>
        <v>40756.991666666669</v>
      </c>
    </row>
    <row r="147" spans="1:7" ht="28.8" x14ac:dyDescent="0.3">
      <c r="A147" s="15" t="s">
        <v>91</v>
      </c>
      <c r="B147" s="35" t="s">
        <v>124</v>
      </c>
      <c r="C147" s="15"/>
      <c r="D147" s="34"/>
      <c r="E147" s="12"/>
      <c r="F147" s="15"/>
      <c r="G147" s="12"/>
    </row>
    <row r="148" spans="1:7" x14ac:dyDescent="0.3">
      <c r="A148" s="38" t="s">
        <v>125</v>
      </c>
      <c r="B148" s="38" t="s">
        <v>126</v>
      </c>
      <c r="C148" s="38"/>
      <c r="D148" s="38"/>
      <c r="E148" s="38"/>
      <c r="F148" s="38"/>
      <c r="G148" s="39">
        <f>G144</f>
        <v>115664.32666666668</v>
      </c>
    </row>
    <row r="149" spans="1:7" x14ac:dyDescent="0.3">
      <c r="A149" s="17" t="s">
        <v>127</v>
      </c>
      <c r="B149" s="17" t="s">
        <v>128</v>
      </c>
      <c r="C149" s="17"/>
      <c r="D149" s="40"/>
      <c r="E149" s="41">
        <v>0.3</v>
      </c>
      <c r="F149" s="17"/>
      <c r="G149" s="19">
        <f>G148*E149</f>
        <v>34699.298000000003</v>
      </c>
    </row>
    <row r="150" spans="1:7" ht="15.6" x14ac:dyDescent="0.3">
      <c r="A150" s="17" t="s">
        <v>129</v>
      </c>
      <c r="B150" s="17" t="s">
        <v>130</v>
      </c>
      <c r="C150" s="42"/>
      <c r="D150" s="42"/>
      <c r="E150" s="41">
        <v>0.15</v>
      </c>
      <c r="F150" s="42"/>
      <c r="G150" s="19">
        <f>G148*E150</f>
        <v>17349.649000000001</v>
      </c>
    </row>
    <row r="151" spans="1:7" ht="15.6" x14ac:dyDescent="0.3">
      <c r="A151" s="17" t="s">
        <v>131</v>
      </c>
      <c r="B151" s="17" t="s">
        <v>132</v>
      </c>
      <c r="C151" s="42"/>
      <c r="D151" s="42"/>
      <c r="E151" s="43">
        <v>0.14249999999999999</v>
      </c>
      <c r="F151" s="42"/>
      <c r="G151" s="19">
        <f>G148*E151</f>
        <v>16482.166549999998</v>
      </c>
    </row>
    <row r="152" spans="1:7" x14ac:dyDescent="0.3">
      <c r="A152" s="13"/>
      <c r="B152" s="15" t="s">
        <v>133</v>
      </c>
      <c r="C152" s="13"/>
      <c r="D152" s="44"/>
      <c r="E152" s="20"/>
      <c r="F152" s="20"/>
      <c r="G152" s="84">
        <f>SUM(G148:G151)</f>
        <v>184195.44021666667</v>
      </c>
    </row>
    <row r="153" spans="1:7" x14ac:dyDescent="0.3">
      <c r="A153" s="1"/>
      <c r="B153" s="15" t="s">
        <v>151</v>
      </c>
      <c r="C153" s="1"/>
      <c r="D153" s="26"/>
      <c r="E153" s="1"/>
      <c r="F153" s="1"/>
      <c r="G153" s="84">
        <f>SUM(G152*12)</f>
        <v>2210345.2826</v>
      </c>
    </row>
    <row r="154" spans="1:7" ht="28.8" x14ac:dyDescent="0.3">
      <c r="A154" s="15" t="s">
        <v>94</v>
      </c>
      <c r="B154" s="35" t="s">
        <v>134</v>
      </c>
      <c r="C154" s="21" t="s">
        <v>140</v>
      </c>
      <c r="D154" s="37"/>
      <c r="E154" s="46" t="s">
        <v>139</v>
      </c>
      <c r="F154" s="21" t="s">
        <v>141</v>
      </c>
      <c r="G154" s="36" t="s">
        <v>183</v>
      </c>
    </row>
    <row r="155" spans="1:7" x14ac:dyDescent="0.3">
      <c r="A155" s="1" t="s">
        <v>135</v>
      </c>
      <c r="B155" s="1" t="s">
        <v>133</v>
      </c>
      <c r="C155" s="1"/>
      <c r="D155" s="1"/>
      <c r="E155" s="1"/>
      <c r="F155" s="1"/>
      <c r="G155" s="11">
        <f>G152</f>
        <v>184195.44021666667</v>
      </c>
    </row>
    <row r="156" spans="1:7" x14ac:dyDescent="0.3">
      <c r="A156" s="1" t="s">
        <v>136</v>
      </c>
      <c r="B156" s="1" t="s">
        <v>137</v>
      </c>
      <c r="C156" s="45" t="s">
        <v>138</v>
      </c>
      <c r="D156" s="1"/>
      <c r="E156" s="8">
        <f>15*3</f>
        <v>45</v>
      </c>
      <c r="F156" s="8">
        <v>30</v>
      </c>
      <c r="G156" s="8">
        <f>E156*F156</f>
        <v>1350</v>
      </c>
    </row>
    <row r="157" spans="1:7" ht="16.8" customHeight="1" x14ac:dyDescent="0.3">
      <c r="A157" s="87" t="s">
        <v>134</v>
      </c>
      <c r="B157" s="87"/>
      <c r="C157" s="87"/>
      <c r="D157" s="87"/>
      <c r="E157" s="87"/>
      <c r="F157" s="87"/>
      <c r="G157" s="12">
        <f>G155/G156</f>
        <v>136.44106682716048</v>
      </c>
    </row>
  </sheetData>
  <mergeCells count="96">
    <mergeCell ref="A117:G117"/>
    <mergeCell ref="B76:F76"/>
    <mergeCell ref="A77:G77"/>
    <mergeCell ref="B90:F90"/>
    <mergeCell ref="B116:F116"/>
    <mergeCell ref="A91:G91"/>
    <mergeCell ref="A105:G105"/>
    <mergeCell ref="C18:D18"/>
    <mergeCell ref="C17:D17"/>
    <mergeCell ref="C16:D16"/>
    <mergeCell ref="C15:D15"/>
    <mergeCell ref="C14:D14"/>
    <mergeCell ref="E31:F31"/>
    <mergeCell ref="E30:F30"/>
    <mergeCell ref="E29:F29"/>
    <mergeCell ref="C31:D31"/>
    <mergeCell ref="C30:D30"/>
    <mergeCell ref="C29:D29"/>
    <mergeCell ref="E37:F37"/>
    <mergeCell ref="E38:F38"/>
    <mergeCell ref="E39:F39"/>
    <mergeCell ref="E40:F40"/>
    <mergeCell ref="E41:F41"/>
    <mergeCell ref="E32:F32"/>
    <mergeCell ref="E33:F33"/>
    <mergeCell ref="E34:F34"/>
    <mergeCell ref="E35:F35"/>
    <mergeCell ref="E36:F36"/>
    <mergeCell ref="E55:F55"/>
    <mergeCell ref="E56:F56"/>
    <mergeCell ref="E57:F57"/>
    <mergeCell ref="E58:F58"/>
    <mergeCell ref="E59:F59"/>
    <mergeCell ref="C47:D47"/>
    <mergeCell ref="C48:D48"/>
    <mergeCell ref="C49:D49"/>
    <mergeCell ref="E47:F47"/>
    <mergeCell ref="E48:F48"/>
    <mergeCell ref="E49:F49"/>
    <mergeCell ref="B60:F60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E50:F50"/>
    <mergeCell ref="E51:F51"/>
    <mergeCell ref="E52:F52"/>
    <mergeCell ref="E53:F53"/>
    <mergeCell ref="E54:F54"/>
    <mergeCell ref="B42:F42"/>
    <mergeCell ref="C45:G45"/>
    <mergeCell ref="A44:G44"/>
    <mergeCell ref="C46:D46"/>
    <mergeCell ref="E46:F46"/>
    <mergeCell ref="B24:F24"/>
    <mergeCell ref="A26:G26"/>
    <mergeCell ref="C27:G27"/>
    <mergeCell ref="C28:D28"/>
    <mergeCell ref="E28:F28"/>
    <mergeCell ref="E18:F18"/>
    <mergeCell ref="E19:F19"/>
    <mergeCell ref="E20:F20"/>
    <mergeCell ref="E21:F21"/>
    <mergeCell ref="E22:F22"/>
    <mergeCell ref="E13:F13"/>
    <mergeCell ref="E14:F14"/>
    <mergeCell ref="E15:F15"/>
    <mergeCell ref="E16:F16"/>
    <mergeCell ref="E17:F17"/>
    <mergeCell ref="C19:D19"/>
    <mergeCell ref="C20:D20"/>
    <mergeCell ref="C21:D21"/>
    <mergeCell ref="C22:D22"/>
    <mergeCell ref="C23:D23"/>
    <mergeCell ref="C13:D13"/>
    <mergeCell ref="A4:G4"/>
    <mergeCell ref="A5:G5"/>
    <mergeCell ref="A7:G7"/>
    <mergeCell ref="A63:F63"/>
    <mergeCell ref="A157:F157"/>
    <mergeCell ref="A6:G6"/>
    <mergeCell ref="B8:G8"/>
    <mergeCell ref="C9:G9"/>
    <mergeCell ref="C10:D10"/>
    <mergeCell ref="E10:F10"/>
    <mergeCell ref="E11:F11"/>
    <mergeCell ref="E12:F12"/>
    <mergeCell ref="E23:F23"/>
    <mergeCell ref="C11:D11"/>
    <mergeCell ref="C12:D12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Planilha1</vt:lpstr>
      <vt:lpstr>Planilha1 (2)</vt:lpstr>
      <vt:lpstr>'Planilha1 (2)'!Area_de_impressao</vt:lpstr>
      <vt:lpstr>'Planilha1 (2)'!Titulos_de_impressao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PMP15</dc:creator>
  <cp:lastModifiedBy>PMP46</cp:lastModifiedBy>
  <cp:lastPrinted>2022-11-03T19:26:27Z</cp:lastPrinted>
  <dcterms:created xsi:type="dcterms:W3CDTF">2022-09-13T12:02:08Z</dcterms:created>
  <dcterms:modified xsi:type="dcterms:W3CDTF">2022-11-03T19:26:58Z</dcterms:modified>
</cp:coreProperties>
</file>